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G:\Drive partagés\BLE-Communs\Etude aviation\"/>
    </mc:Choice>
  </mc:AlternateContent>
  <xr:revisionPtr revIDLastSave="0" documentId="13_ncr:1_{C6E6D778-385C-413A-A456-C3173A079064}" xr6:coauthVersionLast="45" xr6:coauthVersionMax="45" xr10:uidLastSave="{00000000-0000-0000-0000-000000000000}"/>
  <bookViews>
    <workbookView xWindow="-110" yWindow="-110" windowWidth="19420" windowHeight="10420" xr2:uid="{5244BAE9-E329-488D-9B50-76A14AEC0387}"/>
  </bookViews>
  <sheets>
    <sheet name="Scenario Vierge" sheetId="1" r:id="rId1"/>
    <sheet name="Scenario ViergeT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" l="1"/>
  <c r="M19" i="2" s="1"/>
  <c r="E13" i="2"/>
  <c r="D19" i="2"/>
  <c r="E19" i="2"/>
  <c r="F19" i="2"/>
  <c r="G19" i="2" s="1"/>
  <c r="I19" i="2"/>
  <c r="J19" i="2"/>
  <c r="K19" i="2"/>
  <c r="L19" i="2"/>
  <c r="N19" i="2"/>
  <c r="O19" i="2"/>
  <c r="Q19" i="2"/>
  <c r="S19" i="2"/>
  <c r="T19" i="2"/>
  <c r="V19" i="2"/>
  <c r="AF19" i="2"/>
  <c r="AG19" i="2"/>
  <c r="AI19" i="2"/>
  <c r="AO19" i="2"/>
  <c r="C20" i="2"/>
  <c r="D20" i="2" s="1"/>
  <c r="E20" i="2"/>
  <c r="H20" i="2"/>
  <c r="I20" i="2" s="1"/>
  <c r="J20" i="2"/>
  <c r="K20" i="2"/>
  <c r="L20" i="2"/>
  <c r="N20" i="2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Q20" i="2"/>
  <c r="S20" i="2"/>
  <c r="V20" i="2"/>
  <c r="Z20" i="2"/>
  <c r="AO20" i="2" s="1"/>
  <c r="C21" i="2"/>
  <c r="E21" i="2"/>
  <c r="H21" i="2"/>
  <c r="J21" i="2"/>
  <c r="K21" i="2"/>
  <c r="L21" i="2"/>
  <c r="N21" i="2"/>
  <c r="Q21" i="2"/>
  <c r="S21" i="2"/>
  <c r="V21" i="2"/>
  <c r="V22" i="2" s="1"/>
  <c r="V23" i="2" s="1"/>
  <c r="V24" i="2" s="1"/>
  <c r="V25" i="2" s="1"/>
  <c r="Z21" i="2"/>
  <c r="AO21" i="2" s="1"/>
  <c r="C22" i="2"/>
  <c r="E22" i="2"/>
  <c r="H22" i="2"/>
  <c r="J22" i="2"/>
  <c r="K22" i="2"/>
  <c r="L22" i="2"/>
  <c r="N22" i="2"/>
  <c r="Q22" i="2"/>
  <c r="S22" i="2"/>
  <c r="Z22" i="2"/>
  <c r="AO22" i="2" s="1"/>
  <c r="C23" i="2"/>
  <c r="E23" i="2"/>
  <c r="H23" i="2"/>
  <c r="J23" i="2"/>
  <c r="K23" i="2"/>
  <c r="L23" i="2"/>
  <c r="N23" i="2"/>
  <c r="Q23" i="2"/>
  <c r="S23" i="2"/>
  <c r="Y23" i="2"/>
  <c r="C24" i="2"/>
  <c r="E24" i="2"/>
  <c r="H24" i="2"/>
  <c r="J24" i="2"/>
  <c r="K24" i="2"/>
  <c r="L24" i="2"/>
  <c r="N24" i="2"/>
  <c r="Q24" i="2"/>
  <c r="S24" i="2"/>
  <c r="Y24" i="2"/>
  <c r="C25" i="2"/>
  <c r="E25" i="2"/>
  <c r="H25" i="2"/>
  <c r="J25" i="2"/>
  <c r="K25" i="2"/>
  <c r="L25" i="2"/>
  <c r="N25" i="2"/>
  <c r="Q25" i="2"/>
  <c r="S25" i="2"/>
  <c r="Y25" i="2"/>
  <c r="C26" i="2"/>
  <c r="E26" i="2"/>
  <c r="H26" i="2"/>
  <c r="J26" i="2"/>
  <c r="K26" i="2"/>
  <c r="L26" i="2"/>
  <c r="N26" i="2"/>
  <c r="Q26" i="2"/>
  <c r="S26" i="2"/>
  <c r="U26" i="2"/>
  <c r="Y26" i="2"/>
  <c r="C27" i="2"/>
  <c r="E27" i="2"/>
  <c r="H27" i="2"/>
  <c r="J27" i="2"/>
  <c r="K27" i="2"/>
  <c r="L27" i="2"/>
  <c r="N27" i="2"/>
  <c r="Q27" i="2"/>
  <c r="S27" i="2"/>
  <c r="U27" i="2"/>
  <c r="Y27" i="2"/>
  <c r="C28" i="2"/>
  <c r="E28" i="2"/>
  <c r="H28" i="2"/>
  <c r="J28" i="2"/>
  <c r="K28" i="2"/>
  <c r="L28" i="2"/>
  <c r="N28" i="2"/>
  <c r="Q28" i="2"/>
  <c r="S28" i="2"/>
  <c r="U28" i="2"/>
  <c r="Y28" i="2"/>
  <c r="C29" i="2"/>
  <c r="E29" i="2"/>
  <c r="H29" i="2"/>
  <c r="J29" i="2"/>
  <c r="K29" i="2"/>
  <c r="L29" i="2"/>
  <c r="N29" i="2"/>
  <c r="Q29" i="2"/>
  <c r="S29" i="2"/>
  <c r="U29" i="2"/>
  <c r="Y29" i="2"/>
  <c r="C30" i="2"/>
  <c r="E30" i="2"/>
  <c r="H30" i="2"/>
  <c r="J30" i="2"/>
  <c r="K30" i="2"/>
  <c r="L30" i="2"/>
  <c r="N30" i="2"/>
  <c r="Q30" i="2"/>
  <c r="S30" i="2"/>
  <c r="U30" i="2"/>
  <c r="Y30" i="2"/>
  <c r="C31" i="2"/>
  <c r="E31" i="2"/>
  <c r="H31" i="2"/>
  <c r="J31" i="2"/>
  <c r="K31" i="2"/>
  <c r="L31" i="2"/>
  <c r="N31" i="2"/>
  <c r="Q31" i="2"/>
  <c r="S31" i="2"/>
  <c r="U31" i="2"/>
  <c r="Y31" i="2"/>
  <c r="C32" i="2"/>
  <c r="E32" i="2"/>
  <c r="H32" i="2"/>
  <c r="J32" i="2"/>
  <c r="K32" i="2"/>
  <c r="L32" i="2"/>
  <c r="N32" i="2"/>
  <c r="Q32" i="2"/>
  <c r="S32" i="2"/>
  <c r="U32" i="2"/>
  <c r="Y32" i="2"/>
  <c r="C33" i="2"/>
  <c r="E33" i="2"/>
  <c r="H33" i="2"/>
  <c r="J33" i="2"/>
  <c r="K33" i="2"/>
  <c r="L33" i="2"/>
  <c r="N33" i="2"/>
  <c r="Q33" i="2"/>
  <c r="S33" i="2"/>
  <c r="U33" i="2"/>
  <c r="Y33" i="2"/>
  <c r="C34" i="2"/>
  <c r="E34" i="2"/>
  <c r="H34" i="2"/>
  <c r="J34" i="2"/>
  <c r="K34" i="2"/>
  <c r="L34" i="2"/>
  <c r="N34" i="2"/>
  <c r="Q34" i="2"/>
  <c r="S34" i="2"/>
  <c r="U34" i="2"/>
  <c r="Y34" i="2"/>
  <c r="C35" i="2"/>
  <c r="E35" i="2"/>
  <c r="H35" i="2"/>
  <c r="J35" i="2"/>
  <c r="K35" i="2"/>
  <c r="L35" i="2"/>
  <c r="N35" i="2"/>
  <c r="Q35" i="2"/>
  <c r="S35" i="2"/>
  <c r="U35" i="2"/>
  <c r="Y35" i="2"/>
  <c r="C36" i="2"/>
  <c r="E36" i="2"/>
  <c r="H36" i="2"/>
  <c r="J36" i="2"/>
  <c r="K36" i="2"/>
  <c r="L36" i="2"/>
  <c r="N36" i="2"/>
  <c r="Q36" i="2"/>
  <c r="S36" i="2"/>
  <c r="U36" i="2"/>
  <c r="Y36" i="2"/>
  <c r="C37" i="2"/>
  <c r="E37" i="2"/>
  <c r="H37" i="2"/>
  <c r="J37" i="2"/>
  <c r="K37" i="2"/>
  <c r="L37" i="2"/>
  <c r="N37" i="2"/>
  <c r="Q37" i="2"/>
  <c r="S37" i="2"/>
  <c r="U37" i="2"/>
  <c r="Y37" i="2"/>
  <c r="C38" i="2"/>
  <c r="E38" i="2"/>
  <c r="H38" i="2"/>
  <c r="J38" i="2"/>
  <c r="K38" i="2"/>
  <c r="L38" i="2"/>
  <c r="N38" i="2"/>
  <c r="Q38" i="2"/>
  <c r="S38" i="2"/>
  <c r="U38" i="2"/>
  <c r="Y38" i="2"/>
  <c r="C39" i="2"/>
  <c r="E39" i="2"/>
  <c r="H39" i="2"/>
  <c r="J39" i="2"/>
  <c r="K39" i="2"/>
  <c r="L39" i="2"/>
  <c r="N39" i="2"/>
  <c r="Q39" i="2"/>
  <c r="S39" i="2"/>
  <c r="U39" i="2"/>
  <c r="Y39" i="2"/>
  <c r="C40" i="2"/>
  <c r="E40" i="2"/>
  <c r="H40" i="2"/>
  <c r="J40" i="2"/>
  <c r="K40" i="2"/>
  <c r="L40" i="2"/>
  <c r="N40" i="2"/>
  <c r="Q40" i="2"/>
  <c r="S40" i="2"/>
  <c r="U40" i="2"/>
  <c r="Y40" i="2"/>
  <c r="C41" i="2"/>
  <c r="E41" i="2"/>
  <c r="H41" i="2"/>
  <c r="J41" i="2"/>
  <c r="K41" i="2"/>
  <c r="L41" i="2"/>
  <c r="N41" i="2"/>
  <c r="Q41" i="2"/>
  <c r="S41" i="2"/>
  <c r="U41" i="2"/>
  <c r="Y41" i="2"/>
  <c r="C42" i="2"/>
  <c r="E42" i="2"/>
  <c r="H42" i="2"/>
  <c r="J42" i="2"/>
  <c r="K42" i="2"/>
  <c r="L42" i="2"/>
  <c r="N42" i="2"/>
  <c r="Q42" i="2"/>
  <c r="S42" i="2"/>
  <c r="U42" i="2"/>
  <c r="Y42" i="2"/>
  <c r="C43" i="2"/>
  <c r="E43" i="2"/>
  <c r="H43" i="2"/>
  <c r="J43" i="2"/>
  <c r="K43" i="2"/>
  <c r="L43" i="2"/>
  <c r="N43" i="2"/>
  <c r="Q43" i="2"/>
  <c r="S43" i="2"/>
  <c r="U43" i="2"/>
  <c r="Y43" i="2"/>
  <c r="C44" i="2"/>
  <c r="E44" i="2"/>
  <c r="H44" i="2"/>
  <c r="J44" i="2"/>
  <c r="K44" i="2"/>
  <c r="L44" i="2"/>
  <c r="N44" i="2"/>
  <c r="Q44" i="2"/>
  <c r="S44" i="2"/>
  <c r="U44" i="2"/>
  <c r="Y44" i="2"/>
  <c r="C45" i="2"/>
  <c r="E45" i="2"/>
  <c r="H45" i="2"/>
  <c r="J45" i="2"/>
  <c r="K45" i="2"/>
  <c r="L45" i="2"/>
  <c r="N45" i="2"/>
  <c r="Q45" i="2"/>
  <c r="S45" i="2"/>
  <c r="U45" i="2"/>
  <c r="Y45" i="2"/>
  <c r="C46" i="2"/>
  <c r="E46" i="2"/>
  <c r="H46" i="2"/>
  <c r="J46" i="2"/>
  <c r="K46" i="2"/>
  <c r="L46" i="2"/>
  <c r="N46" i="2"/>
  <c r="Q46" i="2"/>
  <c r="S46" i="2"/>
  <c r="U46" i="2"/>
  <c r="Y46" i="2"/>
  <c r="C47" i="2"/>
  <c r="E47" i="2"/>
  <c r="H47" i="2"/>
  <c r="J47" i="2"/>
  <c r="K47" i="2"/>
  <c r="L47" i="2"/>
  <c r="N47" i="2"/>
  <c r="Q47" i="2"/>
  <c r="S47" i="2"/>
  <c r="U47" i="2"/>
  <c r="Y47" i="2"/>
  <c r="C48" i="2"/>
  <c r="E48" i="2"/>
  <c r="H48" i="2"/>
  <c r="J48" i="2"/>
  <c r="K48" i="2"/>
  <c r="L48" i="2"/>
  <c r="N48" i="2"/>
  <c r="Q48" i="2"/>
  <c r="S48" i="2"/>
  <c r="U48" i="2"/>
  <c r="Y48" i="2"/>
  <c r="C49" i="2"/>
  <c r="E49" i="2"/>
  <c r="H49" i="2"/>
  <c r="J49" i="2"/>
  <c r="K49" i="2"/>
  <c r="L49" i="2"/>
  <c r="N49" i="2"/>
  <c r="Q49" i="2"/>
  <c r="S49" i="2"/>
  <c r="U49" i="2"/>
  <c r="Y49" i="2"/>
  <c r="C50" i="2"/>
  <c r="E50" i="2"/>
  <c r="H50" i="2"/>
  <c r="J50" i="2"/>
  <c r="K50" i="2"/>
  <c r="L50" i="2"/>
  <c r="N50" i="2"/>
  <c r="Q50" i="2"/>
  <c r="S50" i="2"/>
  <c r="U50" i="2"/>
  <c r="Y50" i="2"/>
  <c r="C51" i="2"/>
  <c r="E51" i="2"/>
  <c r="H51" i="2"/>
  <c r="J51" i="2"/>
  <c r="K51" i="2"/>
  <c r="L51" i="2"/>
  <c r="N51" i="2"/>
  <c r="Q51" i="2"/>
  <c r="S51" i="2"/>
  <c r="U51" i="2"/>
  <c r="Y51" i="2"/>
  <c r="AD58" i="2"/>
  <c r="AD60" i="2" s="1"/>
  <c r="F74" i="2"/>
  <c r="F76" i="2"/>
  <c r="F78" i="2"/>
  <c r="I21" i="2" l="1"/>
  <c r="AI21" i="2" s="1"/>
  <c r="I22" i="2"/>
  <c r="Z49" i="2"/>
  <c r="AO49" i="2" s="1"/>
  <c r="V26" i="2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V40" i="2" s="1"/>
  <c r="V41" i="2" s="1"/>
  <c r="V42" i="2" s="1"/>
  <c r="V43" i="2" s="1"/>
  <c r="V44" i="2" s="1"/>
  <c r="V45" i="2" s="1"/>
  <c r="V46" i="2" s="1"/>
  <c r="V47" i="2" s="1"/>
  <c r="V48" i="2" s="1"/>
  <c r="V49" i="2" s="1"/>
  <c r="V50" i="2" s="1"/>
  <c r="V51" i="2" s="1"/>
  <c r="G79" i="2" s="1"/>
  <c r="H79" i="2" s="1"/>
  <c r="Z34" i="2"/>
  <c r="AO34" i="2" s="1"/>
  <c r="Z35" i="2"/>
  <c r="AO35" i="2" s="1"/>
  <c r="Z36" i="2"/>
  <c r="AO36" i="2" s="1"/>
  <c r="Z37" i="2"/>
  <c r="AO37" i="2" s="1"/>
  <c r="Z38" i="2"/>
  <c r="AO38" i="2" s="1"/>
  <c r="Z39" i="2"/>
  <c r="AO39" i="2" s="1"/>
  <c r="Z40" i="2"/>
  <c r="AO40" i="2" s="1"/>
  <c r="Z41" i="2"/>
  <c r="AO41" i="2" s="1"/>
  <c r="Z42" i="2"/>
  <c r="AO42" i="2" s="1"/>
  <c r="Z43" i="2"/>
  <c r="AO43" i="2" s="1"/>
  <c r="Z44" i="2"/>
  <c r="AO44" i="2" s="1"/>
  <c r="Z45" i="2"/>
  <c r="AO45" i="2" s="1"/>
  <c r="Z47" i="2"/>
  <c r="AO47" i="2" s="1"/>
  <c r="Z51" i="2"/>
  <c r="AO51" i="2" s="1"/>
  <c r="Z29" i="2"/>
  <c r="AO29" i="2" s="1"/>
  <c r="Z46" i="2"/>
  <c r="AO46" i="2" s="1"/>
  <c r="Z31" i="2"/>
  <c r="AO31" i="2" s="1"/>
  <c r="Z33" i="2"/>
  <c r="AO33" i="2" s="1"/>
  <c r="Z32" i="2"/>
  <c r="AO32" i="2" s="1"/>
  <c r="Z50" i="2"/>
  <c r="AO50" i="2" s="1"/>
  <c r="T20" i="2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T45" i="2" s="1"/>
  <c r="T46" i="2" s="1"/>
  <c r="T47" i="2" s="1"/>
  <c r="T48" i="2" s="1"/>
  <c r="T49" i="2" s="1"/>
  <c r="T50" i="2" s="1"/>
  <c r="T51" i="2" s="1"/>
  <c r="G78" i="2" s="1"/>
  <c r="H78" i="2" s="1"/>
  <c r="AM19" i="2"/>
  <c r="O34" i="2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G77" i="2" s="1"/>
  <c r="H77" i="2" s="1"/>
  <c r="Z48" i="2"/>
  <c r="AO48" i="2" s="1"/>
  <c r="Z28" i="2"/>
  <c r="AO28" i="2" s="1"/>
  <c r="L82" i="2"/>
  <c r="D21" i="2"/>
  <c r="AF20" i="2"/>
  <c r="Z24" i="2"/>
  <c r="AO24" i="2" s="1"/>
  <c r="Z23" i="2"/>
  <c r="Z26" i="2"/>
  <c r="AO26" i="2" s="1"/>
  <c r="Z30" i="2"/>
  <c r="AO30" i="2" s="1"/>
  <c r="AH19" i="2"/>
  <c r="P19" i="2"/>
  <c r="R19" i="2" s="1"/>
  <c r="Z27" i="2"/>
  <c r="AO27" i="2" s="1"/>
  <c r="Z25" i="2"/>
  <c r="AO25" i="2" s="1"/>
  <c r="AI20" i="2"/>
  <c r="W19" i="2"/>
  <c r="AN19" i="2"/>
  <c r="AJ19" i="2"/>
  <c r="F20" i="2"/>
  <c r="M20" i="2"/>
  <c r="M21" i="2" s="1"/>
  <c r="I23" i="2" l="1"/>
  <c r="AI22" i="2"/>
  <c r="AJ21" i="2"/>
  <c r="M22" i="2"/>
  <c r="AJ20" i="2"/>
  <c r="F21" i="2"/>
  <c r="G21" i="2" s="1"/>
  <c r="AG20" i="2"/>
  <c r="AF21" i="2"/>
  <c r="D22" i="2"/>
  <c r="G20" i="2"/>
  <c r="AN20" i="2" s="1"/>
  <c r="X19" i="2"/>
  <c r="AA19" i="2"/>
  <c r="AL19" i="2"/>
  <c r="AC19" i="2"/>
  <c r="AO23" i="2"/>
  <c r="L84" i="2"/>
  <c r="AM20" i="2" l="1"/>
  <c r="I24" i="2"/>
  <c r="AI23" i="2"/>
  <c r="W21" i="2"/>
  <c r="AH21" i="2"/>
  <c r="P21" i="2"/>
  <c r="AN21" i="2"/>
  <c r="AM21" i="2"/>
  <c r="AK19" i="2"/>
  <c r="AB19" i="2"/>
  <c r="AJ22" i="2"/>
  <c r="M23" i="2"/>
  <c r="AP19" i="2"/>
  <c r="P20" i="2"/>
  <c r="R20" i="2" s="1"/>
  <c r="W20" i="2"/>
  <c r="AH20" i="2"/>
  <c r="F22" i="2"/>
  <c r="AG21" i="2"/>
  <c r="AF22" i="2"/>
  <c r="D23" i="2"/>
  <c r="AI24" i="2" l="1"/>
  <c r="I25" i="2"/>
  <c r="F23" i="2"/>
  <c r="G23" i="2" s="1"/>
  <c r="AN23" i="2" s="1"/>
  <c r="AG22" i="2"/>
  <c r="AL20" i="2"/>
  <c r="AC20" i="2"/>
  <c r="X20" i="2"/>
  <c r="AP20" i="2" s="1"/>
  <c r="AA20" i="2"/>
  <c r="AJ23" i="2"/>
  <c r="M24" i="2"/>
  <c r="D24" i="2"/>
  <c r="AF23" i="2"/>
  <c r="G22" i="2"/>
  <c r="L76" i="2"/>
  <c r="R21" i="2"/>
  <c r="AA21" i="2"/>
  <c r="X21" i="2"/>
  <c r="AI25" i="2" l="1"/>
  <c r="I26" i="2"/>
  <c r="AJ24" i="2"/>
  <c r="M25" i="2"/>
  <c r="AK21" i="2"/>
  <c r="AB21" i="2"/>
  <c r="AB20" i="2"/>
  <c r="AK20" i="2"/>
  <c r="AL21" i="2"/>
  <c r="AC21" i="2"/>
  <c r="W23" i="2"/>
  <c r="AH23" i="2"/>
  <c r="P23" i="2"/>
  <c r="R23" i="2" s="1"/>
  <c r="D25" i="2"/>
  <c r="AF24" i="2"/>
  <c r="AP21" i="2"/>
  <c r="AM23" i="2"/>
  <c r="P22" i="2"/>
  <c r="R22" i="2" s="1"/>
  <c r="W22" i="2"/>
  <c r="AH22" i="2"/>
  <c r="AM22" i="2"/>
  <c r="AN22" i="2"/>
  <c r="AG23" i="2"/>
  <c r="F24" i="2"/>
  <c r="G24" i="2" s="1"/>
  <c r="AI26" i="2" l="1"/>
  <c r="I27" i="2"/>
  <c r="P24" i="2"/>
  <c r="R24" i="2" s="1"/>
  <c r="AH24" i="2"/>
  <c r="W24" i="2"/>
  <c r="AM24" i="2"/>
  <c r="AN24" i="2"/>
  <c r="AL22" i="2"/>
  <c r="AC22" i="2"/>
  <c r="X22" i="2"/>
  <c r="AA22" i="2"/>
  <c r="AJ25" i="2"/>
  <c r="M26" i="2"/>
  <c r="AA23" i="2"/>
  <c r="X23" i="2"/>
  <c r="AP23" i="2"/>
  <c r="AF25" i="2"/>
  <c r="D26" i="2"/>
  <c r="AG24" i="2"/>
  <c r="F25" i="2"/>
  <c r="G25" i="2" s="1"/>
  <c r="AL23" i="2"/>
  <c r="AC23" i="2"/>
  <c r="AI27" i="2" l="1"/>
  <c r="I28" i="2"/>
  <c r="AH25" i="2"/>
  <c r="P25" i="2"/>
  <c r="R25" i="2" s="1"/>
  <c r="W25" i="2"/>
  <c r="AM25" i="2"/>
  <c r="AN25" i="2"/>
  <c r="AJ26" i="2"/>
  <c r="M27" i="2"/>
  <c r="D27" i="2"/>
  <c r="AF26" i="2"/>
  <c r="AA24" i="2"/>
  <c r="X24" i="2"/>
  <c r="AP24" i="2" s="1"/>
  <c r="AB22" i="2"/>
  <c r="AK22" i="2"/>
  <c r="AG25" i="2"/>
  <c r="F26" i="2"/>
  <c r="AK23" i="2"/>
  <c r="AB23" i="2"/>
  <c r="AP22" i="2"/>
  <c r="AC24" i="2"/>
  <c r="AL24" i="2"/>
  <c r="I29" i="2" l="1"/>
  <c r="AI28" i="2"/>
  <c r="AG26" i="2"/>
  <c r="F27" i="2"/>
  <c r="X25" i="2"/>
  <c r="AP25" i="2" s="1"/>
  <c r="AA25" i="2"/>
  <c r="G26" i="2"/>
  <c r="AF27" i="2"/>
  <c r="D28" i="2"/>
  <c r="AC25" i="2"/>
  <c r="AL25" i="2"/>
  <c r="AB24" i="2"/>
  <c r="AK24" i="2"/>
  <c r="AJ27" i="2"/>
  <c r="M28" i="2"/>
  <c r="I30" i="2" l="1"/>
  <c r="AI29" i="2"/>
  <c r="AJ28" i="2"/>
  <c r="M29" i="2"/>
  <c r="AB25" i="2"/>
  <c r="AK25" i="2"/>
  <c r="F28" i="2"/>
  <c r="AG27" i="2"/>
  <c r="W26" i="2"/>
  <c r="AH26" i="2"/>
  <c r="P26" i="2"/>
  <c r="R26" i="2" s="1"/>
  <c r="AM26" i="2"/>
  <c r="AN26" i="2"/>
  <c r="AF28" i="2"/>
  <c r="D29" i="2"/>
  <c r="G27" i="2"/>
  <c r="AI30" i="2" l="1"/>
  <c r="I31" i="2"/>
  <c r="AG28" i="2"/>
  <c r="F29" i="2"/>
  <c r="G29" i="2" s="1"/>
  <c r="AN29" i="2" s="1"/>
  <c r="AF29" i="2"/>
  <c r="D30" i="2"/>
  <c r="P27" i="2"/>
  <c r="R27" i="2" s="1"/>
  <c r="W27" i="2"/>
  <c r="AH27" i="2"/>
  <c r="AM27" i="2"/>
  <c r="AN27" i="2"/>
  <c r="AL26" i="2"/>
  <c r="AC26" i="2"/>
  <c r="G28" i="2"/>
  <c r="AA26" i="2"/>
  <c r="X26" i="2"/>
  <c r="AP26" i="2" s="1"/>
  <c r="AJ29" i="2"/>
  <c r="M30" i="2"/>
  <c r="AI31" i="2" l="1"/>
  <c r="I32" i="2"/>
  <c r="AL27" i="2"/>
  <c r="AC27" i="2"/>
  <c r="W28" i="2"/>
  <c r="AH28" i="2"/>
  <c r="P28" i="2"/>
  <c r="R28" i="2" s="1"/>
  <c r="AN28" i="2"/>
  <c r="AM28" i="2"/>
  <c r="P29" i="2"/>
  <c r="R29" i="2" s="1"/>
  <c r="AH29" i="2"/>
  <c r="W29" i="2"/>
  <c r="AM29" i="2"/>
  <c r="AJ30" i="2"/>
  <c r="M31" i="2"/>
  <c r="AK26" i="2"/>
  <c r="AB26" i="2"/>
  <c r="AG29" i="2"/>
  <c r="F30" i="2"/>
  <c r="G30" i="2" s="1"/>
  <c r="D31" i="2"/>
  <c r="AF30" i="2"/>
  <c r="X27" i="2"/>
  <c r="AP27" i="2" s="1"/>
  <c r="AA27" i="2"/>
  <c r="I33" i="2" l="1"/>
  <c r="AI32" i="2"/>
  <c r="W30" i="2"/>
  <c r="AH30" i="2"/>
  <c r="P30" i="2"/>
  <c r="R30" i="2" s="1"/>
  <c r="AN30" i="2"/>
  <c r="AM30" i="2"/>
  <c r="AG30" i="2"/>
  <c r="F31" i="2"/>
  <c r="AC28" i="2"/>
  <c r="AL28" i="2"/>
  <c r="AA28" i="2"/>
  <c r="X28" i="2"/>
  <c r="AP28" i="2" s="1"/>
  <c r="AB27" i="2"/>
  <c r="AK27" i="2"/>
  <c r="AJ31" i="2"/>
  <c r="M32" i="2"/>
  <c r="X29" i="2"/>
  <c r="AP29" i="2"/>
  <c r="AA29" i="2"/>
  <c r="AC29" i="2"/>
  <c r="AL29" i="2"/>
  <c r="AF31" i="2"/>
  <c r="D32" i="2"/>
  <c r="I34" i="2" l="1"/>
  <c r="AI33" i="2"/>
  <c r="F32" i="2"/>
  <c r="G32" i="2" s="1"/>
  <c r="AG31" i="2"/>
  <c r="AK29" i="2"/>
  <c r="AB29" i="2"/>
  <c r="AJ32" i="2"/>
  <c r="M33" i="2"/>
  <c r="AC30" i="2"/>
  <c r="AL30" i="2"/>
  <c r="L70" i="2"/>
  <c r="AF32" i="2"/>
  <c r="D33" i="2"/>
  <c r="G31" i="2"/>
  <c r="AK28" i="2"/>
  <c r="AB28" i="2"/>
  <c r="AA30" i="2"/>
  <c r="X30" i="2"/>
  <c r="AP30" i="2"/>
  <c r="AN32" i="2" l="1"/>
  <c r="AM32" i="2"/>
  <c r="AI34" i="2"/>
  <c r="I35" i="2"/>
  <c r="AJ33" i="2"/>
  <c r="M34" i="2"/>
  <c r="AK30" i="2"/>
  <c r="AB30" i="2"/>
  <c r="D34" i="2"/>
  <c r="AF33" i="2"/>
  <c r="M70" i="2"/>
  <c r="W31" i="2"/>
  <c r="P31" i="2"/>
  <c r="R31" i="2" s="1"/>
  <c r="AH31" i="2"/>
  <c r="AM31" i="2"/>
  <c r="AN31" i="2"/>
  <c r="W32" i="2"/>
  <c r="AH32" i="2"/>
  <c r="P32" i="2"/>
  <c r="R32" i="2" s="1"/>
  <c r="AG32" i="2"/>
  <c r="F33" i="2"/>
  <c r="G33" i="2" s="1"/>
  <c r="AN33" i="2" s="1"/>
  <c r="AI35" i="2" l="1"/>
  <c r="I36" i="2"/>
  <c r="F34" i="2"/>
  <c r="AG33" i="2"/>
  <c r="AA32" i="2"/>
  <c r="X32" i="2"/>
  <c r="AP32" i="2"/>
  <c r="G34" i="2"/>
  <c r="AM34" i="2" s="1"/>
  <c r="AF34" i="2"/>
  <c r="D35" i="2"/>
  <c r="AL31" i="2"/>
  <c r="AC31" i="2"/>
  <c r="X31" i="2"/>
  <c r="AA31" i="2"/>
  <c r="AP31" i="2"/>
  <c r="P33" i="2"/>
  <c r="R33" i="2" s="1"/>
  <c r="AH33" i="2"/>
  <c r="W33" i="2"/>
  <c r="AJ34" i="2"/>
  <c r="M35" i="2"/>
  <c r="AC32" i="2"/>
  <c r="AL32" i="2"/>
  <c r="AM33" i="2"/>
  <c r="I37" i="2" l="1"/>
  <c r="AI36" i="2"/>
  <c r="AJ35" i="2"/>
  <c r="M36" i="2"/>
  <c r="AF35" i="2"/>
  <c r="D36" i="2"/>
  <c r="AC33" i="2"/>
  <c r="AL33" i="2"/>
  <c r="AK32" i="2"/>
  <c r="AB32" i="2"/>
  <c r="AN34" i="2"/>
  <c r="W34" i="2"/>
  <c r="P34" i="2"/>
  <c r="R34" i="2" s="1"/>
  <c r="AH34" i="2"/>
  <c r="AB31" i="2"/>
  <c r="AK31" i="2"/>
  <c r="Z81" i="2"/>
  <c r="X33" i="2"/>
  <c r="AP33" i="2" s="1"/>
  <c r="AA33" i="2"/>
  <c r="AG34" i="2"/>
  <c r="F35" i="2"/>
  <c r="G35" i="2" s="1"/>
  <c r="AM35" i="2" s="1"/>
  <c r="AI37" i="2" l="1"/>
  <c r="I38" i="2"/>
  <c r="AA34" i="2"/>
  <c r="X34" i="2"/>
  <c r="AP34" i="2" s="1"/>
  <c r="AF36" i="2"/>
  <c r="D37" i="2"/>
  <c r="AJ36" i="2"/>
  <c r="M37" i="2"/>
  <c r="AN35" i="2"/>
  <c r="F36" i="2"/>
  <c r="G36" i="2" s="1"/>
  <c r="AM36" i="2" s="1"/>
  <c r="AG35" i="2"/>
  <c r="AK33" i="2"/>
  <c r="AB33" i="2"/>
  <c r="AH35" i="2"/>
  <c r="P35" i="2"/>
  <c r="R35" i="2" s="1"/>
  <c r="W35" i="2"/>
  <c r="AL34" i="2"/>
  <c r="AC34" i="2"/>
  <c r="AI38" i="2" l="1"/>
  <c r="I39" i="2"/>
  <c r="AF37" i="2"/>
  <c r="D38" i="2"/>
  <c r="AG36" i="2"/>
  <c r="F37" i="2"/>
  <c r="AA35" i="2"/>
  <c r="X35" i="2"/>
  <c r="W36" i="2"/>
  <c r="P36" i="2"/>
  <c r="R36" i="2" s="1"/>
  <c r="AH36" i="2"/>
  <c r="AK34" i="2"/>
  <c r="AB34" i="2"/>
  <c r="AC35" i="2"/>
  <c r="AL35" i="2"/>
  <c r="AJ37" i="2"/>
  <c r="M38" i="2"/>
  <c r="AN36" i="2"/>
  <c r="I40" i="2" l="1"/>
  <c r="AI39" i="2"/>
  <c r="AJ38" i="2"/>
  <c r="M39" i="2"/>
  <c r="AF38" i="2"/>
  <c r="D39" i="2"/>
  <c r="F38" i="2"/>
  <c r="G38" i="2" s="1"/>
  <c r="AG37" i="2"/>
  <c r="AL36" i="2"/>
  <c r="AC36" i="2"/>
  <c r="AK35" i="2"/>
  <c r="AB35" i="2"/>
  <c r="AP35" i="2"/>
  <c r="AA36" i="2"/>
  <c r="X36" i="2"/>
  <c r="G37" i="2"/>
  <c r="AI40" i="2" l="1"/>
  <c r="I41" i="2"/>
  <c r="AJ39" i="2"/>
  <c r="M40" i="2"/>
  <c r="W38" i="2"/>
  <c r="P38" i="2"/>
  <c r="R38" i="2" s="1"/>
  <c r="AH38" i="2"/>
  <c r="W37" i="2"/>
  <c r="AH37" i="2"/>
  <c r="P37" i="2"/>
  <c r="R37" i="2" s="1"/>
  <c r="AN37" i="2"/>
  <c r="AM37" i="2"/>
  <c r="AK36" i="2"/>
  <c r="AB36" i="2"/>
  <c r="AN38" i="2"/>
  <c r="AM38" i="2"/>
  <c r="AP36" i="2"/>
  <c r="AG38" i="2"/>
  <c r="F39" i="2"/>
  <c r="G39" i="2" s="1"/>
  <c r="AF39" i="2"/>
  <c r="D40" i="2"/>
  <c r="I42" i="2" l="1"/>
  <c r="AI41" i="2"/>
  <c r="AF40" i="2"/>
  <c r="D41" i="2"/>
  <c r="W39" i="2"/>
  <c r="AH39" i="2"/>
  <c r="P39" i="2"/>
  <c r="R39" i="2" s="1"/>
  <c r="AA38" i="2"/>
  <c r="X38" i="2"/>
  <c r="AP38" i="2" s="1"/>
  <c r="F40" i="2"/>
  <c r="AG39" i="2"/>
  <c r="AJ40" i="2"/>
  <c r="M41" i="2"/>
  <c r="AC37" i="2"/>
  <c r="AL37" i="2"/>
  <c r="AN39" i="2"/>
  <c r="AA37" i="2"/>
  <c r="X37" i="2"/>
  <c r="AL38" i="2"/>
  <c r="AC38" i="2"/>
  <c r="AM39" i="2"/>
  <c r="AI42" i="2" l="1"/>
  <c r="I43" i="2"/>
  <c r="AJ41" i="2"/>
  <c r="M42" i="2"/>
  <c r="AC39" i="2"/>
  <c r="AL39" i="2"/>
  <c r="AK37" i="2"/>
  <c r="AB37" i="2"/>
  <c r="AP37" i="2"/>
  <c r="AF41" i="2"/>
  <c r="D42" i="2"/>
  <c r="AA39" i="2"/>
  <c r="X39" i="2"/>
  <c r="AG40" i="2"/>
  <c r="F41" i="2"/>
  <c r="G41" i="2" s="1"/>
  <c r="AK38" i="2"/>
  <c r="AB38" i="2"/>
  <c r="G40" i="2"/>
  <c r="AI43" i="2" l="1"/>
  <c r="I44" i="2"/>
  <c r="W40" i="2"/>
  <c r="P40" i="2"/>
  <c r="R40" i="2" s="1"/>
  <c r="AH40" i="2"/>
  <c r="AN40" i="2"/>
  <c r="AM40" i="2"/>
  <c r="AK39" i="2"/>
  <c r="AB39" i="2"/>
  <c r="AP39" i="2"/>
  <c r="D43" i="2"/>
  <c r="AF42" i="2"/>
  <c r="AH41" i="2"/>
  <c r="P41" i="2"/>
  <c r="R41" i="2" s="1"/>
  <c r="W41" i="2"/>
  <c r="AN41" i="2"/>
  <c r="AJ42" i="2"/>
  <c r="M43" i="2"/>
  <c r="F42" i="2"/>
  <c r="AG41" i="2"/>
  <c r="AM41" i="2"/>
  <c r="I45" i="2" l="1"/>
  <c r="AI44" i="2"/>
  <c r="AA41" i="2"/>
  <c r="X41" i="2"/>
  <c r="AG42" i="2"/>
  <c r="F43" i="2"/>
  <c r="AJ43" i="2"/>
  <c r="M44" i="2"/>
  <c r="D44" i="2"/>
  <c r="AF43" i="2"/>
  <c r="AL40" i="2"/>
  <c r="AC40" i="2"/>
  <c r="AC41" i="2"/>
  <c r="AL41" i="2"/>
  <c r="G42" i="2"/>
  <c r="AA40" i="2"/>
  <c r="X40" i="2"/>
  <c r="AI45" i="2" l="1"/>
  <c r="I46" i="2"/>
  <c r="AF44" i="2"/>
  <c r="D45" i="2"/>
  <c r="AK41" i="2"/>
  <c r="AB41" i="2"/>
  <c r="F44" i="2"/>
  <c r="AG43" i="2"/>
  <c r="W42" i="2"/>
  <c r="P42" i="2"/>
  <c r="R42" i="2" s="1"/>
  <c r="AH42" i="2"/>
  <c r="AM42" i="2"/>
  <c r="AN42" i="2"/>
  <c r="G43" i="2"/>
  <c r="AP41" i="2"/>
  <c r="AK40" i="2"/>
  <c r="AB40" i="2"/>
  <c r="AP40" i="2"/>
  <c r="AJ44" i="2"/>
  <c r="M45" i="2"/>
  <c r="I47" i="2" l="1"/>
  <c r="AI46" i="2"/>
  <c r="M46" i="2"/>
  <c r="AJ45" i="2"/>
  <c r="AA42" i="2"/>
  <c r="X42" i="2"/>
  <c r="AP42" i="2" s="1"/>
  <c r="AF45" i="2"/>
  <c r="D46" i="2"/>
  <c r="AH43" i="2"/>
  <c r="W43" i="2"/>
  <c r="P43" i="2"/>
  <c r="R43" i="2" s="1"/>
  <c r="AN43" i="2"/>
  <c r="AM43" i="2"/>
  <c r="AG44" i="2"/>
  <c r="F45" i="2"/>
  <c r="G45" i="2" s="1"/>
  <c r="AL42" i="2"/>
  <c r="AC42" i="2"/>
  <c r="G44" i="2"/>
  <c r="I48" i="2" l="1"/>
  <c r="AI47" i="2"/>
  <c r="W44" i="2"/>
  <c r="P44" i="2"/>
  <c r="R44" i="2" s="1"/>
  <c r="AH44" i="2"/>
  <c r="AM44" i="2"/>
  <c r="AN44" i="2"/>
  <c r="P45" i="2"/>
  <c r="R45" i="2" s="1"/>
  <c r="AH45" i="2"/>
  <c r="W45" i="2"/>
  <c r="AC43" i="2"/>
  <c r="AL43" i="2"/>
  <c r="AJ46" i="2"/>
  <c r="M47" i="2"/>
  <c r="AK42" i="2"/>
  <c r="AB42" i="2"/>
  <c r="AA43" i="2"/>
  <c r="X43" i="2"/>
  <c r="D47" i="2"/>
  <c r="AF46" i="2"/>
  <c r="AN45" i="2"/>
  <c r="F46" i="2"/>
  <c r="G46" i="2" s="1"/>
  <c r="AG45" i="2"/>
  <c r="AM45" i="2"/>
  <c r="AI48" i="2" l="1"/>
  <c r="I49" i="2"/>
  <c r="W46" i="2"/>
  <c r="P46" i="2"/>
  <c r="R46" i="2" s="1"/>
  <c r="AH46" i="2"/>
  <c r="AM46" i="2"/>
  <c r="AN46" i="2"/>
  <c r="AA45" i="2"/>
  <c r="X45" i="2"/>
  <c r="AP45" i="2" s="1"/>
  <c r="AJ47" i="2"/>
  <c r="M48" i="2"/>
  <c r="AC45" i="2"/>
  <c r="AL45" i="2"/>
  <c r="AK43" i="2"/>
  <c r="AB43" i="2"/>
  <c r="AP43" i="2"/>
  <c r="AL44" i="2"/>
  <c r="AC44" i="2"/>
  <c r="AG46" i="2"/>
  <c r="F47" i="2"/>
  <c r="G47" i="2" s="1"/>
  <c r="D48" i="2"/>
  <c r="AF47" i="2"/>
  <c r="AA44" i="2"/>
  <c r="X44" i="2"/>
  <c r="AI49" i="2" l="1"/>
  <c r="I50" i="2"/>
  <c r="AH47" i="2"/>
  <c r="P47" i="2"/>
  <c r="R47" i="2" s="1"/>
  <c r="W47" i="2"/>
  <c r="D49" i="2"/>
  <c r="AF48" i="2"/>
  <c r="AK44" i="2"/>
  <c r="AB44" i="2"/>
  <c r="AM47" i="2"/>
  <c r="AJ48" i="2"/>
  <c r="M49" i="2"/>
  <c r="AN47" i="2"/>
  <c r="AL46" i="2"/>
  <c r="AC46" i="2"/>
  <c r="AK45" i="2"/>
  <c r="AB45" i="2"/>
  <c r="AG47" i="2"/>
  <c r="F48" i="2"/>
  <c r="AP44" i="2"/>
  <c r="X46" i="2"/>
  <c r="AA46" i="2"/>
  <c r="I51" i="2" l="1"/>
  <c r="AI50" i="2"/>
  <c r="AK46" i="2"/>
  <c r="AB46" i="2"/>
  <c r="AJ49" i="2"/>
  <c r="M50" i="2"/>
  <c r="F49" i="2"/>
  <c r="AG48" i="2"/>
  <c r="G48" i="2"/>
  <c r="AA47" i="2"/>
  <c r="X47" i="2"/>
  <c r="AF49" i="2"/>
  <c r="D50" i="2"/>
  <c r="AC47" i="2"/>
  <c r="AL47" i="2"/>
  <c r="AP46" i="2"/>
  <c r="G75" i="2" l="1"/>
  <c r="H75" i="2" s="1"/>
  <c r="AI51" i="2"/>
  <c r="AF50" i="2"/>
  <c r="D51" i="2"/>
  <c r="AG49" i="2"/>
  <c r="F50" i="2"/>
  <c r="G50" i="2" s="1"/>
  <c r="G49" i="2"/>
  <c r="AK47" i="2"/>
  <c r="AB47" i="2"/>
  <c r="AJ50" i="2"/>
  <c r="M51" i="2"/>
  <c r="AP47" i="2"/>
  <c r="AH48" i="2"/>
  <c r="W48" i="2"/>
  <c r="P48" i="2"/>
  <c r="R48" i="2" s="1"/>
  <c r="AM48" i="2"/>
  <c r="AN48" i="2"/>
  <c r="P50" i="2" l="1"/>
  <c r="R50" i="2" s="1"/>
  <c r="AH50" i="2"/>
  <c r="W50" i="2"/>
  <c r="AN50" i="2"/>
  <c r="AM50" i="2"/>
  <c r="AL48" i="2"/>
  <c r="AC48" i="2"/>
  <c r="W49" i="2"/>
  <c r="P49" i="2"/>
  <c r="R49" i="2" s="1"/>
  <c r="AH49" i="2"/>
  <c r="AN49" i="2"/>
  <c r="AM49" i="2"/>
  <c r="AJ51" i="2"/>
  <c r="G76" i="2"/>
  <c r="H76" i="2" s="1"/>
  <c r="AG50" i="2"/>
  <c r="F51" i="2"/>
  <c r="G51" i="2" s="1"/>
  <c r="AF51" i="2"/>
  <c r="G72" i="2"/>
  <c r="H72" i="2" s="1"/>
  <c r="AA48" i="2"/>
  <c r="X48" i="2"/>
  <c r="AP48" i="2" s="1"/>
  <c r="AN51" i="2" l="1"/>
  <c r="AM51" i="2"/>
  <c r="W51" i="2"/>
  <c r="P51" i="2"/>
  <c r="AH51" i="2"/>
  <c r="G74" i="2"/>
  <c r="H74" i="2" s="1"/>
  <c r="X50" i="2"/>
  <c r="AP50" i="2"/>
  <c r="AA50" i="2"/>
  <c r="AK48" i="2"/>
  <c r="AB48" i="2"/>
  <c r="AG51" i="2"/>
  <c r="G73" i="2"/>
  <c r="H73" i="2" s="1"/>
  <c r="AA49" i="2"/>
  <c r="X49" i="2"/>
  <c r="AP49" i="2" s="1"/>
  <c r="AC49" i="2"/>
  <c r="AL49" i="2"/>
  <c r="AC50" i="2"/>
  <c r="AL50" i="2"/>
  <c r="L72" i="2"/>
  <c r="L74" i="2" s="1"/>
  <c r="AD62" i="2" s="1"/>
  <c r="AK50" i="2" l="1"/>
  <c r="AB50" i="2"/>
  <c r="M72" i="2"/>
  <c r="M74" i="2" s="1"/>
  <c r="AD64" i="2" s="1"/>
  <c r="L78" i="2"/>
  <c r="L80" i="2" s="1"/>
  <c r="R51" i="2"/>
  <c r="AB49" i="2"/>
  <c r="AK49" i="2"/>
  <c r="AA51" i="2"/>
  <c r="X51" i="2"/>
  <c r="Z62" i="2" l="1"/>
  <c r="AC51" i="2"/>
  <c r="AL51" i="2"/>
  <c r="AK51" i="2"/>
  <c r="AB51" i="2"/>
  <c r="Z64" i="2"/>
  <c r="AP51" i="2"/>
  <c r="F79" i="1" l="1"/>
  <c r="F77" i="1"/>
  <c r="AD59" i="1"/>
  <c r="AD61" i="1" s="1"/>
  <c r="Y52" i="1"/>
  <c r="U52" i="1"/>
  <c r="S52" i="1"/>
  <c r="Q52" i="1"/>
  <c r="N52" i="1"/>
  <c r="L52" i="1"/>
  <c r="K52" i="1"/>
  <c r="J52" i="1"/>
  <c r="H52" i="1"/>
  <c r="E52" i="1"/>
  <c r="C52" i="1"/>
  <c r="Y51" i="1"/>
  <c r="U51" i="1"/>
  <c r="S51" i="1"/>
  <c r="Q51" i="1"/>
  <c r="N51" i="1"/>
  <c r="L51" i="1"/>
  <c r="K51" i="1"/>
  <c r="J51" i="1"/>
  <c r="H51" i="1"/>
  <c r="E51" i="1"/>
  <c r="C51" i="1"/>
  <c r="Y50" i="1"/>
  <c r="U50" i="1"/>
  <c r="S50" i="1"/>
  <c r="Q50" i="1"/>
  <c r="N50" i="1"/>
  <c r="L50" i="1"/>
  <c r="K50" i="1"/>
  <c r="J50" i="1"/>
  <c r="H50" i="1"/>
  <c r="E50" i="1"/>
  <c r="C50" i="1"/>
  <c r="Y49" i="1"/>
  <c r="U49" i="1"/>
  <c r="S49" i="1"/>
  <c r="Q49" i="1"/>
  <c r="N49" i="1"/>
  <c r="L49" i="1"/>
  <c r="K49" i="1"/>
  <c r="J49" i="1"/>
  <c r="H49" i="1"/>
  <c r="E49" i="1"/>
  <c r="C49" i="1"/>
  <c r="Y48" i="1"/>
  <c r="U48" i="1"/>
  <c r="S48" i="1"/>
  <c r="Q48" i="1"/>
  <c r="N48" i="1"/>
  <c r="L48" i="1"/>
  <c r="K48" i="1"/>
  <c r="J48" i="1"/>
  <c r="H48" i="1"/>
  <c r="E48" i="1"/>
  <c r="C48" i="1"/>
  <c r="Y47" i="1"/>
  <c r="U47" i="1"/>
  <c r="S47" i="1"/>
  <c r="Q47" i="1"/>
  <c r="N47" i="1"/>
  <c r="L47" i="1"/>
  <c r="K47" i="1"/>
  <c r="J47" i="1"/>
  <c r="H47" i="1"/>
  <c r="E47" i="1"/>
  <c r="C47" i="1"/>
  <c r="Y46" i="1"/>
  <c r="U46" i="1"/>
  <c r="S46" i="1"/>
  <c r="Q46" i="1"/>
  <c r="N46" i="1"/>
  <c r="L46" i="1"/>
  <c r="K46" i="1"/>
  <c r="J46" i="1"/>
  <c r="H46" i="1"/>
  <c r="E46" i="1"/>
  <c r="C46" i="1"/>
  <c r="Y45" i="1"/>
  <c r="U45" i="1"/>
  <c r="S45" i="1"/>
  <c r="Q45" i="1"/>
  <c r="N45" i="1"/>
  <c r="L45" i="1"/>
  <c r="K45" i="1"/>
  <c r="J45" i="1"/>
  <c r="H45" i="1"/>
  <c r="E45" i="1"/>
  <c r="C45" i="1"/>
  <c r="Y44" i="1"/>
  <c r="U44" i="1"/>
  <c r="S44" i="1"/>
  <c r="Q44" i="1"/>
  <c r="N44" i="1"/>
  <c r="L44" i="1"/>
  <c r="K44" i="1"/>
  <c r="J44" i="1"/>
  <c r="H44" i="1"/>
  <c r="E44" i="1"/>
  <c r="C44" i="1"/>
  <c r="Y43" i="1"/>
  <c r="U43" i="1"/>
  <c r="S43" i="1"/>
  <c r="Q43" i="1"/>
  <c r="N43" i="1"/>
  <c r="L43" i="1"/>
  <c r="K43" i="1"/>
  <c r="J43" i="1"/>
  <c r="H43" i="1"/>
  <c r="E43" i="1"/>
  <c r="C43" i="1"/>
  <c r="Y42" i="1"/>
  <c r="U42" i="1"/>
  <c r="S42" i="1"/>
  <c r="Q42" i="1"/>
  <c r="N42" i="1"/>
  <c r="L42" i="1"/>
  <c r="K42" i="1"/>
  <c r="J42" i="1"/>
  <c r="H42" i="1"/>
  <c r="E42" i="1"/>
  <c r="C42" i="1"/>
  <c r="Y41" i="1"/>
  <c r="U41" i="1"/>
  <c r="S41" i="1"/>
  <c r="Q41" i="1"/>
  <c r="N41" i="1"/>
  <c r="L41" i="1"/>
  <c r="K41" i="1"/>
  <c r="J41" i="1"/>
  <c r="H41" i="1"/>
  <c r="E41" i="1"/>
  <c r="C41" i="1"/>
  <c r="Y40" i="1"/>
  <c r="U40" i="1"/>
  <c r="S40" i="1"/>
  <c r="Q40" i="1"/>
  <c r="N40" i="1"/>
  <c r="L40" i="1"/>
  <c r="K40" i="1"/>
  <c r="J40" i="1"/>
  <c r="H40" i="1"/>
  <c r="E40" i="1"/>
  <c r="C40" i="1"/>
  <c r="Y39" i="1"/>
  <c r="U39" i="1"/>
  <c r="S39" i="1"/>
  <c r="Q39" i="1"/>
  <c r="N39" i="1"/>
  <c r="L39" i="1"/>
  <c r="K39" i="1"/>
  <c r="J39" i="1"/>
  <c r="H39" i="1"/>
  <c r="E39" i="1"/>
  <c r="C39" i="1"/>
  <c r="Y38" i="1"/>
  <c r="U38" i="1"/>
  <c r="S38" i="1"/>
  <c r="Q38" i="1"/>
  <c r="N38" i="1"/>
  <c r="L38" i="1"/>
  <c r="K38" i="1"/>
  <c r="J38" i="1"/>
  <c r="H38" i="1"/>
  <c r="E38" i="1"/>
  <c r="C38" i="1"/>
  <c r="Y37" i="1"/>
  <c r="U37" i="1"/>
  <c r="S37" i="1"/>
  <c r="Q37" i="1"/>
  <c r="N37" i="1"/>
  <c r="L37" i="1"/>
  <c r="K37" i="1"/>
  <c r="J37" i="1"/>
  <c r="H37" i="1"/>
  <c r="E37" i="1"/>
  <c r="C37" i="1"/>
  <c r="Y36" i="1"/>
  <c r="U36" i="1"/>
  <c r="S36" i="1"/>
  <c r="Q36" i="1"/>
  <c r="N36" i="1"/>
  <c r="L36" i="1"/>
  <c r="K36" i="1"/>
  <c r="J36" i="1"/>
  <c r="H36" i="1"/>
  <c r="E36" i="1"/>
  <c r="C36" i="1"/>
  <c r="Y35" i="1"/>
  <c r="U35" i="1"/>
  <c r="S35" i="1"/>
  <c r="Q35" i="1"/>
  <c r="N35" i="1"/>
  <c r="L35" i="1"/>
  <c r="K35" i="1"/>
  <c r="J35" i="1"/>
  <c r="H35" i="1"/>
  <c r="E35" i="1"/>
  <c r="C35" i="1"/>
  <c r="Y34" i="1"/>
  <c r="U34" i="1"/>
  <c r="S34" i="1"/>
  <c r="Q34" i="1"/>
  <c r="N34" i="1"/>
  <c r="L34" i="1"/>
  <c r="K34" i="1"/>
  <c r="J34" i="1"/>
  <c r="H34" i="1"/>
  <c r="E34" i="1"/>
  <c r="C34" i="1"/>
  <c r="Y33" i="1"/>
  <c r="U33" i="1"/>
  <c r="S33" i="1"/>
  <c r="Q33" i="1"/>
  <c r="N33" i="1"/>
  <c r="L33" i="1"/>
  <c r="K33" i="1"/>
  <c r="J33" i="1"/>
  <c r="H33" i="1"/>
  <c r="E33" i="1"/>
  <c r="C33" i="1"/>
  <c r="Y32" i="1"/>
  <c r="U32" i="1"/>
  <c r="S32" i="1"/>
  <c r="Q32" i="1"/>
  <c r="N32" i="1"/>
  <c r="L32" i="1"/>
  <c r="K32" i="1"/>
  <c r="J32" i="1"/>
  <c r="H32" i="1"/>
  <c r="E32" i="1"/>
  <c r="C32" i="1"/>
  <c r="Y31" i="1"/>
  <c r="U31" i="1"/>
  <c r="S31" i="1"/>
  <c r="Q31" i="1"/>
  <c r="N31" i="1"/>
  <c r="L31" i="1"/>
  <c r="K31" i="1"/>
  <c r="J31" i="1"/>
  <c r="H31" i="1"/>
  <c r="E31" i="1"/>
  <c r="C31" i="1"/>
  <c r="Y30" i="1"/>
  <c r="U30" i="1"/>
  <c r="S30" i="1"/>
  <c r="Q30" i="1"/>
  <c r="N30" i="1"/>
  <c r="L30" i="1"/>
  <c r="K30" i="1"/>
  <c r="J30" i="1"/>
  <c r="H30" i="1"/>
  <c r="E30" i="1"/>
  <c r="C30" i="1"/>
  <c r="Y29" i="1"/>
  <c r="U29" i="1"/>
  <c r="S29" i="1"/>
  <c r="Q29" i="1"/>
  <c r="N29" i="1"/>
  <c r="L29" i="1"/>
  <c r="K29" i="1"/>
  <c r="J29" i="1"/>
  <c r="H29" i="1"/>
  <c r="E29" i="1"/>
  <c r="C29" i="1"/>
  <c r="Y28" i="1"/>
  <c r="U28" i="1"/>
  <c r="S28" i="1"/>
  <c r="Q28" i="1"/>
  <c r="N28" i="1"/>
  <c r="L28" i="1"/>
  <c r="K28" i="1"/>
  <c r="J28" i="1"/>
  <c r="H28" i="1"/>
  <c r="E28" i="1"/>
  <c r="C28" i="1"/>
  <c r="Y27" i="1"/>
  <c r="U27" i="1"/>
  <c r="S27" i="1"/>
  <c r="Q27" i="1"/>
  <c r="N27" i="1"/>
  <c r="L27" i="1"/>
  <c r="K27" i="1"/>
  <c r="J27" i="1"/>
  <c r="H27" i="1"/>
  <c r="E27" i="1"/>
  <c r="C27" i="1"/>
  <c r="Y26" i="1"/>
  <c r="S26" i="1"/>
  <c r="Q26" i="1"/>
  <c r="N26" i="1"/>
  <c r="L26" i="1"/>
  <c r="K26" i="1"/>
  <c r="J26" i="1"/>
  <c r="H26" i="1"/>
  <c r="E26" i="1"/>
  <c r="C26" i="1"/>
  <c r="Y25" i="1"/>
  <c r="S25" i="1"/>
  <c r="Q25" i="1"/>
  <c r="N25" i="1"/>
  <c r="L25" i="1"/>
  <c r="K25" i="1"/>
  <c r="J25" i="1"/>
  <c r="H25" i="1"/>
  <c r="E25" i="1"/>
  <c r="C25" i="1"/>
  <c r="Y24" i="1"/>
  <c r="S24" i="1"/>
  <c r="Q24" i="1"/>
  <c r="N24" i="1"/>
  <c r="L24" i="1"/>
  <c r="K24" i="1"/>
  <c r="J24" i="1"/>
  <c r="H24" i="1"/>
  <c r="E24" i="1"/>
  <c r="C24" i="1"/>
  <c r="Z23" i="1"/>
  <c r="AO23" i="1" s="1"/>
  <c r="S23" i="1"/>
  <c r="Q23" i="1"/>
  <c r="N23" i="1"/>
  <c r="L23" i="1"/>
  <c r="K23" i="1"/>
  <c r="J23" i="1"/>
  <c r="H23" i="1"/>
  <c r="E23" i="1"/>
  <c r="C23" i="1"/>
  <c r="Z22" i="1"/>
  <c r="AO22" i="1" s="1"/>
  <c r="S22" i="1"/>
  <c r="Q22" i="1"/>
  <c r="N22" i="1"/>
  <c r="L22" i="1"/>
  <c r="K22" i="1"/>
  <c r="J22" i="1"/>
  <c r="H22" i="1"/>
  <c r="E22" i="1"/>
  <c r="C22" i="1"/>
  <c r="Z21" i="1"/>
  <c r="S21" i="1"/>
  <c r="Q21" i="1"/>
  <c r="N21" i="1"/>
  <c r="L21" i="1"/>
  <c r="K21" i="1"/>
  <c r="J21" i="1"/>
  <c r="H21" i="1"/>
  <c r="E21" i="1"/>
  <c r="C21" i="1"/>
  <c r="AO20" i="1"/>
  <c r="V20" i="1"/>
  <c r="V21" i="1" s="1"/>
  <c r="V22" i="1" s="1"/>
  <c r="V23" i="1" s="1"/>
  <c r="V24" i="1" s="1"/>
  <c r="V25" i="1" s="1"/>
  <c r="V26" i="1" s="1"/>
  <c r="S20" i="1"/>
  <c r="Q20" i="1"/>
  <c r="O20" i="1"/>
  <c r="N20" i="1"/>
  <c r="L20" i="1"/>
  <c r="K20" i="1"/>
  <c r="J20" i="1"/>
  <c r="I20" i="1"/>
  <c r="AI20" i="1" s="1"/>
  <c r="F20" i="1"/>
  <c r="F21" i="1" s="1"/>
  <c r="E20" i="1"/>
  <c r="D20" i="1"/>
  <c r="G19" i="1"/>
  <c r="E14" i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G79" i="1" s="1"/>
  <c r="H79" i="1" s="1"/>
  <c r="E12" i="1"/>
  <c r="M20" i="1" s="1"/>
  <c r="V27" i="1" l="1"/>
  <c r="V28" i="1" s="1"/>
  <c r="Z49" i="1"/>
  <c r="AO49" i="1" s="1"/>
  <c r="O21" i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G78" i="1" s="1"/>
  <c r="H78" i="1" s="1"/>
  <c r="Z26" i="1"/>
  <c r="AO26" i="1" s="1"/>
  <c r="G20" i="1"/>
  <c r="AM20" i="1" s="1"/>
  <c r="I21" i="1"/>
  <c r="I22" i="1" s="1"/>
  <c r="AJ20" i="1"/>
  <c r="AN20" i="1"/>
  <c r="F75" i="1"/>
  <c r="W20" i="1"/>
  <c r="AH20" i="1"/>
  <c r="AG21" i="1"/>
  <c r="F22" i="1"/>
  <c r="AF20" i="1"/>
  <c r="Z41" i="1"/>
  <c r="AO41" i="1" s="1"/>
  <c r="Z46" i="1"/>
  <c r="AO46" i="1" s="1"/>
  <c r="AG20" i="1"/>
  <c r="Z43" i="1"/>
  <c r="AO43" i="1" s="1"/>
  <c r="Z25" i="1"/>
  <c r="AO25" i="1" s="1"/>
  <c r="Z27" i="1"/>
  <c r="AO27" i="1" s="1"/>
  <c r="Z36" i="1"/>
  <c r="AO36" i="1" s="1"/>
  <c r="D21" i="1"/>
  <c r="Z38" i="1"/>
  <c r="AO38" i="1" s="1"/>
  <c r="L83" i="1"/>
  <c r="Z48" i="1"/>
  <c r="AO48" i="1" s="1"/>
  <c r="Z42" i="1"/>
  <c r="AO42" i="1" s="1"/>
  <c r="Z40" i="1"/>
  <c r="AO40" i="1" s="1"/>
  <c r="Z34" i="1"/>
  <c r="AO34" i="1" s="1"/>
  <c r="Z32" i="1"/>
  <c r="AO32" i="1" s="1"/>
  <c r="Z50" i="1"/>
  <c r="AO50" i="1" s="1"/>
  <c r="Z47" i="1"/>
  <c r="AO47" i="1" s="1"/>
  <c r="Z45" i="1"/>
  <c r="AO45" i="1" s="1"/>
  <c r="Z39" i="1"/>
  <c r="AO39" i="1" s="1"/>
  <c r="Z37" i="1"/>
  <c r="AO37" i="1" s="1"/>
  <c r="Z31" i="1"/>
  <c r="AO31" i="1" s="1"/>
  <c r="Z29" i="1"/>
  <c r="AO29" i="1" s="1"/>
  <c r="Z52" i="1"/>
  <c r="AO52" i="1" s="1"/>
  <c r="Z51" i="1"/>
  <c r="AO51" i="1" s="1"/>
  <c r="M21" i="1"/>
  <c r="AO21" i="1"/>
  <c r="Z24" i="1"/>
  <c r="AO24" i="1" s="1"/>
  <c r="V29" i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G80" i="1" s="1"/>
  <c r="H80" i="1" s="1"/>
  <c r="Z35" i="1"/>
  <c r="AO35" i="1" s="1"/>
  <c r="Z30" i="1"/>
  <c r="AO30" i="1" s="1"/>
  <c r="Z33" i="1"/>
  <c r="AO33" i="1" s="1"/>
  <c r="Z28" i="1"/>
  <c r="AO28" i="1" s="1"/>
  <c r="Z44" i="1"/>
  <c r="AO44" i="1" s="1"/>
  <c r="AI21" i="1" l="1"/>
  <c r="P20" i="1"/>
  <c r="R20" i="1" s="1"/>
  <c r="AC20" i="1" s="1"/>
  <c r="F23" i="1"/>
  <c r="AG22" i="1"/>
  <c r="AF21" i="1"/>
  <c r="G21" i="1"/>
  <c r="D22" i="1"/>
  <c r="L85" i="1"/>
  <c r="AN21" i="1"/>
  <c r="AJ21" i="1"/>
  <c r="M22" i="1"/>
  <c r="AI22" i="1"/>
  <c r="I23" i="1"/>
  <c r="X20" i="1"/>
  <c r="AP20" i="1" s="1"/>
  <c r="AA20" i="1"/>
  <c r="AL20" i="1" l="1"/>
  <c r="AB20" i="1"/>
  <c r="AK20" i="1"/>
  <c r="I24" i="1"/>
  <c r="AI23" i="1"/>
  <c r="D23" i="1"/>
  <c r="G22" i="1"/>
  <c r="AF22" i="1"/>
  <c r="AJ22" i="1"/>
  <c r="M23" i="1"/>
  <c r="AH21" i="1"/>
  <c r="W21" i="1"/>
  <c r="P21" i="1"/>
  <c r="R21" i="1" s="1"/>
  <c r="AM21" i="1"/>
  <c r="AG23" i="1"/>
  <c r="F24" i="1"/>
  <c r="AC21" i="1" l="1"/>
  <c r="AL21" i="1"/>
  <c r="P22" i="1"/>
  <c r="AH22" i="1"/>
  <c r="W22" i="1"/>
  <c r="X21" i="1"/>
  <c r="AP21" i="1"/>
  <c r="AA21" i="1"/>
  <c r="G23" i="1"/>
  <c r="AF23" i="1"/>
  <c r="D24" i="1"/>
  <c r="AM23" i="1"/>
  <c r="AN23" i="1"/>
  <c r="AJ23" i="1"/>
  <c r="M24" i="1"/>
  <c r="AI24" i="1"/>
  <c r="I25" i="1"/>
  <c r="AN22" i="1"/>
  <c r="AG24" i="1"/>
  <c r="F25" i="1"/>
  <c r="AM22" i="1"/>
  <c r="AB21" i="1" l="1"/>
  <c r="AK21" i="1"/>
  <c r="AA22" i="1"/>
  <c r="X22" i="1"/>
  <c r="AP22" i="1" s="1"/>
  <c r="AJ24" i="1"/>
  <c r="M25" i="1"/>
  <c r="F26" i="1"/>
  <c r="AG25" i="1"/>
  <c r="D25" i="1"/>
  <c r="G24" i="1"/>
  <c r="AM24" i="1" s="1"/>
  <c r="AF24" i="1"/>
  <c r="L77" i="1"/>
  <c r="R22" i="1"/>
  <c r="AI25" i="1"/>
  <c r="I26" i="1"/>
  <c r="AH23" i="1"/>
  <c r="W23" i="1"/>
  <c r="P23" i="1"/>
  <c r="R23" i="1" s="1"/>
  <c r="AN24" i="1" l="1"/>
  <c r="AL22" i="1"/>
  <c r="AC22" i="1"/>
  <c r="AJ25" i="1"/>
  <c r="M26" i="1"/>
  <c r="AC23" i="1"/>
  <c r="AL23" i="1"/>
  <c r="P24" i="1"/>
  <c r="R24" i="1" s="1"/>
  <c r="AH24" i="1"/>
  <c r="W24" i="1"/>
  <c r="X23" i="1"/>
  <c r="AP23" i="1" s="1"/>
  <c r="AA23" i="1"/>
  <c r="AF25" i="1"/>
  <c r="D26" i="1"/>
  <c r="G25" i="1"/>
  <c r="AN25" i="1" s="1"/>
  <c r="AB22" i="1"/>
  <c r="AK22" i="1"/>
  <c r="AI26" i="1"/>
  <c r="I27" i="1"/>
  <c r="AG26" i="1"/>
  <c r="F27" i="1"/>
  <c r="AM25" i="1" l="1"/>
  <c r="D27" i="1"/>
  <c r="AF26" i="1"/>
  <c r="G26" i="1"/>
  <c r="AN26" i="1" s="1"/>
  <c r="AI27" i="1"/>
  <c r="I28" i="1"/>
  <c r="AJ26" i="1"/>
  <c r="M27" i="1"/>
  <c r="AB23" i="1"/>
  <c r="AK23" i="1"/>
  <c r="AA24" i="1"/>
  <c r="X24" i="1"/>
  <c r="AP24" i="1" s="1"/>
  <c r="AG27" i="1"/>
  <c r="F28" i="1"/>
  <c r="P25" i="1"/>
  <c r="R25" i="1" s="1"/>
  <c r="AH25" i="1"/>
  <c r="W25" i="1"/>
  <c r="AL24" i="1"/>
  <c r="AC24" i="1"/>
  <c r="AM26" i="1" l="1"/>
  <c r="AJ27" i="1"/>
  <c r="M28" i="1"/>
  <c r="AG28" i="1"/>
  <c r="F29" i="1"/>
  <c r="AF27" i="1"/>
  <c r="D28" i="1"/>
  <c r="G27" i="1"/>
  <c r="AN27" i="1" s="1"/>
  <c r="AK24" i="1"/>
  <c r="AB24" i="1"/>
  <c r="AA25" i="1"/>
  <c r="X25" i="1"/>
  <c r="I29" i="1"/>
  <c r="AI28" i="1"/>
  <c r="P26" i="1"/>
  <c r="R26" i="1" s="1"/>
  <c r="AH26" i="1"/>
  <c r="W26" i="1"/>
  <c r="AL25" i="1"/>
  <c r="AC25" i="1"/>
  <c r="G28" i="1" l="1"/>
  <c r="D29" i="1"/>
  <c r="AF28" i="1"/>
  <c r="AI29" i="1"/>
  <c r="I30" i="1"/>
  <c r="AG29" i="1"/>
  <c r="F30" i="1"/>
  <c r="AB25" i="1"/>
  <c r="AK25" i="1"/>
  <c r="AP25" i="1"/>
  <c r="X26" i="1"/>
  <c r="AP26" i="1"/>
  <c r="AA26" i="1"/>
  <c r="AN28" i="1"/>
  <c r="AJ28" i="1"/>
  <c r="M29" i="1"/>
  <c r="AC26" i="1"/>
  <c r="AL26" i="1"/>
  <c r="W27" i="1"/>
  <c r="AH27" i="1"/>
  <c r="P27" i="1"/>
  <c r="R27" i="1" s="1"/>
  <c r="AM27" i="1"/>
  <c r="AG30" i="1" l="1"/>
  <c r="F31" i="1"/>
  <c r="W28" i="1"/>
  <c r="P28" i="1"/>
  <c r="R28" i="1" s="1"/>
  <c r="AH28" i="1"/>
  <c r="AM28" i="1"/>
  <c r="AC27" i="1"/>
  <c r="AL27" i="1"/>
  <c r="AK26" i="1"/>
  <c r="AB26" i="1"/>
  <c r="AI30" i="1"/>
  <c r="I31" i="1"/>
  <c r="AA27" i="1"/>
  <c r="X27" i="1"/>
  <c r="AJ29" i="1"/>
  <c r="M30" i="1"/>
  <c r="D30" i="1"/>
  <c r="G29" i="1"/>
  <c r="AF29" i="1"/>
  <c r="AB27" i="1" l="1"/>
  <c r="AK27" i="1"/>
  <c r="AH29" i="1"/>
  <c r="P29" i="1"/>
  <c r="R29" i="1" s="1"/>
  <c r="W29" i="1"/>
  <c r="AP27" i="1"/>
  <c r="D31" i="1"/>
  <c r="AF30" i="1"/>
  <c r="G30" i="1"/>
  <c r="AI31" i="1"/>
  <c r="I32" i="1"/>
  <c r="AC28" i="1"/>
  <c r="AL28" i="1"/>
  <c r="AN29" i="1"/>
  <c r="AA28" i="1"/>
  <c r="AP28" i="1"/>
  <c r="X28" i="1"/>
  <c r="AM29" i="1"/>
  <c r="F32" i="1"/>
  <c r="AG31" i="1"/>
  <c r="AN30" i="1"/>
  <c r="AM30" i="1"/>
  <c r="AJ30" i="1"/>
  <c r="M31" i="1"/>
  <c r="AF31" i="1" l="1"/>
  <c r="D32" i="1"/>
  <c r="G31" i="1"/>
  <c r="AM31" i="1" s="1"/>
  <c r="X29" i="1"/>
  <c r="AP29" i="1" s="1"/>
  <c r="AA29" i="1"/>
  <c r="AL29" i="1"/>
  <c r="AC29" i="1"/>
  <c r="AG32" i="1"/>
  <c r="F33" i="1"/>
  <c r="I33" i="1"/>
  <c r="AI32" i="1"/>
  <c r="AB28" i="1"/>
  <c r="AK28" i="1"/>
  <c r="P30" i="1"/>
  <c r="R30" i="1" s="1"/>
  <c r="AH30" i="1"/>
  <c r="W30" i="1"/>
  <c r="AJ31" i="1"/>
  <c r="M32" i="1"/>
  <c r="AN31" i="1" l="1"/>
  <c r="AC30" i="1"/>
  <c r="AL30" i="1"/>
  <c r="AJ32" i="1"/>
  <c r="M33" i="1"/>
  <c r="AK29" i="1"/>
  <c r="AB29" i="1"/>
  <c r="AI33" i="1"/>
  <c r="I34" i="1"/>
  <c r="P31" i="1"/>
  <c r="R31" i="1" s="1"/>
  <c r="AH31" i="1"/>
  <c r="W31" i="1"/>
  <c r="AA30" i="1"/>
  <c r="X30" i="1"/>
  <c r="AG33" i="1"/>
  <c r="F34" i="1"/>
  <c r="G32" i="1"/>
  <c r="AM32" i="1" s="1"/>
  <c r="D33" i="1"/>
  <c r="AF32" i="1"/>
  <c r="AK30" i="1" l="1"/>
  <c r="AB30" i="1"/>
  <c r="X31" i="1"/>
  <c r="AP31" i="1" s="1"/>
  <c r="AA31" i="1"/>
  <c r="AJ33" i="1"/>
  <c r="M34" i="1"/>
  <c r="D34" i="1"/>
  <c r="AF33" i="1"/>
  <c r="G33" i="1"/>
  <c r="AN33" i="1" s="1"/>
  <c r="AN32" i="1"/>
  <c r="AC31" i="1"/>
  <c r="AL31" i="1"/>
  <c r="L71" i="1"/>
  <c r="F35" i="1"/>
  <c r="AG34" i="1"/>
  <c r="AI34" i="1"/>
  <c r="I35" i="1"/>
  <c r="W32" i="1"/>
  <c r="P32" i="1"/>
  <c r="R32" i="1" s="1"/>
  <c r="AH32" i="1"/>
  <c r="AP30" i="1"/>
  <c r="AM33" i="1" l="1"/>
  <c r="AL32" i="1"/>
  <c r="AC32" i="1"/>
  <c r="X32" i="1"/>
  <c r="AP32" i="1" s="1"/>
  <c r="AA32" i="1"/>
  <c r="I36" i="1"/>
  <c r="AI35" i="1"/>
  <c r="W33" i="1"/>
  <c r="AH33" i="1"/>
  <c r="P33" i="1"/>
  <c r="R33" i="1" s="1"/>
  <c r="AK31" i="1"/>
  <c r="AB31" i="1"/>
  <c r="M71" i="1"/>
  <c r="D35" i="1"/>
  <c r="G34" i="1"/>
  <c r="AF34" i="1"/>
  <c r="AG35" i="1"/>
  <c r="F36" i="1"/>
  <c r="AJ34" i="1"/>
  <c r="M35" i="1"/>
  <c r="P34" i="1" l="1"/>
  <c r="R34" i="1" s="1"/>
  <c r="AH34" i="1"/>
  <c r="W34" i="1"/>
  <c r="AN34" i="1"/>
  <c r="Z82" i="1"/>
  <c r="AB32" i="1"/>
  <c r="AK32" i="1"/>
  <c r="AJ35" i="1"/>
  <c r="M36" i="1"/>
  <c r="AM34" i="1"/>
  <c r="AG36" i="1"/>
  <c r="F37" i="1"/>
  <c r="AC33" i="1"/>
  <c r="AL33" i="1"/>
  <c r="I37" i="1"/>
  <c r="AI36" i="1"/>
  <c r="AF35" i="1"/>
  <c r="G35" i="1"/>
  <c r="D36" i="1"/>
  <c r="AP33" i="1"/>
  <c r="AA33" i="1"/>
  <c r="X33" i="1"/>
  <c r="F38" i="1" l="1"/>
  <c r="AG37" i="1"/>
  <c r="AH35" i="1"/>
  <c r="W35" i="1"/>
  <c r="P35" i="1"/>
  <c r="R35" i="1" s="1"/>
  <c r="AM36" i="1"/>
  <c r="AJ36" i="1"/>
  <c r="M37" i="1"/>
  <c r="G36" i="1"/>
  <c r="AN36" i="1" s="1"/>
  <c r="D37" i="1"/>
  <c r="AF36" i="1"/>
  <c r="AN35" i="1"/>
  <c r="AA34" i="1"/>
  <c r="X34" i="1"/>
  <c r="AP34" i="1"/>
  <c r="AI37" i="1"/>
  <c r="I38" i="1"/>
  <c r="AB33" i="1"/>
  <c r="AK33" i="1"/>
  <c r="AM35" i="1"/>
  <c r="AC34" i="1"/>
  <c r="AL34" i="1"/>
  <c r="AJ37" i="1" l="1"/>
  <c r="M38" i="1"/>
  <c r="AG38" i="1"/>
  <c r="F39" i="1"/>
  <c r="AK34" i="1"/>
  <c r="AB34" i="1"/>
  <c r="AC35" i="1"/>
  <c r="AL35" i="1"/>
  <c r="D38" i="1"/>
  <c r="G37" i="1"/>
  <c r="AF37" i="1"/>
  <c r="AP35" i="1"/>
  <c r="AA35" i="1"/>
  <c r="X35" i="1"/>
  <c r="AI38" i="1"/>
  <c r="I39" i="1"/>
  <c r="W36" i="1"/>
  <c r="P36" i="1"/>
  <c r="R36" i="1" s="1"/>
  <c r="AH36" i="1"/>
  <c r="AH37" i="1" l="1"/>
  <c r="P37" i="1"/>
  <c r="R37" i="1" s="1"/>
  <c r="W37" i="1"/>
  <c r="F40" i="1"/>
  <c r="AG39" i="1"/>
  <c r="AC36" i="1"/>
  <c r="AL36" i="1"/>
  <c r="X36" i="1"/>
  <c r="AA36" i="1"/>
  <c r="D39" i="1"/>
  <c r="AF38" i="1"/>
  <c r="G38" i="1"/>
  <c r="AM38" i="1" s="1"/>
  <c r="AI39" i="1"/>
  <c r="I40" i="1"/>
  <c r="AJ38" i="1"/>
  <c r="M39" i="1"/>
  <c r="AM37" i="1"/>
  <c r="AB35" i="1"/>
  <c r="AK35" i="1"/>
  <c r="AN37" i="1"/>
  <c r="AB36" i="1" l="1"/>
  <c r="AK36" i="1"/>
  <c r="I41" i="1"/>
  <c r="AI40" i="1"/>
  <c r="P38" i="1"/>
  <c r="R38" i="1" s="1"/>
  <c r="AH38" i="1"/>
  <c r="W38" i="1"/>
  <c r="AJ39" i="1"/>
  <c r="M40" i="1"/>
  <c r="AG40" i="1"/>
  <c r="F41" i="1"/>
  <c r="AF39" i="1"/>
  <c r="D40" i="1"/>
  <c r="G39" i="1"/>
  <c r="AA37" i="1"/>
  <c r="X37" i="1"/>
  <c r="AP37" i="1" s="1"/>
  <c r="AC37" i="1"/>
  <c r="AL37" i="1"/>
  <c r="AN38" i="1"/>
  <c r="AP36" i="1"/>
  <c r="P39" i="1" l="1"/>
  <c r="R39" i="1" s="1"/>
  <c r="W39" i="1"/>
  <c r="AH39" i="1"/>
  <c r="AM39" i="1"/>
  <c r="G40" i="1"/>
  <c r="D41" i="1"/>
  <c r="AF40" i="1"/>
  <c r="AA38" i="1"/>
  <c r="X38" i="1"/>
  <c r="AP38" i="1"/>
  <c r="AG41" i="1"/>
  <c r="F42" i="1"/>
  <c r="AM40" i="1"/>
  <c r="AJ40" i="1"/>
  <c r="AN40" i="1"/>
  <c r="M41" i="1"/>
  <c r="AI41" i="1"/>
  <c r="I42" i="1"/>
  <c r="AC38" i="1"/>
  <c r="AL38" i="1"/>
  <c r="AK37" i="1"/>
  <c r="AB37" i="1"/>
  <c r="AN39" i="1"/>
  <c r="AJ41" i="1" l="1"/>
  <c r="M42" i="1"/>
  <c r="D42" i="1"/>
  <c r="AF41" i="1"/>
  <c r="G41" i="1"/>
  <c r="W40" i="1"/>
  <c r="P40" i="1"/>
  <c r="R40" i="1" s="1"/>
  <c r="AH40" i="1"/>
  <c r="F43" i="1"/>
  <c r="AG42" i="1"/>
  <c r="AI42" i="1"/>
  <c r="I43" i="1"/>
  <c r="AA39" i="1"/>
  <c r="X39" i="1"/>
  <c r="AK38" i="1"/>
  <c r="AB38" i="1"/>
  <c r="AC39" i="1"/>
  <c r="AL39" i="1"/>
  <c r="AK39" i="1" l="1"/>
  <c r="AB39" i="1"/>
  <c r="X40" i="1"/>
  <c r="AP40" i="1" s="1"/>
  <c r="AA40" i="1"/>
  <c r="W41" i="1"/>
  <c r="AH41" i="1"/>
  <c r="P41" i="1"/>
  <c r="R41" i="1" s="1"/>
  <c r="I44" i="1"/>
  <c r="AI43" i="1"/>
  <c r="D43" i="1"/>
  <c r="G42" i="1"/>
  <c r="AF42" i="1"/>
  <c r="AG43" i="1"/>
  <c r="F44" i="1"/>
  <c r="AM41" i="1"/>
  <c r="AJ42" i="1"/>
  <c r="M43" i="1"/>
  <c r="AN41" i="1"/>
  <c r="AP39" i="1"/>
  <c r="AL40" i="1"/>
  <c r="AC40" i="1"/>
  <c r="AG44" i="1" l="1"/>
  <c r="F45" i="1"/>
  <c r="AJ43" i="1"/>
  <c r="M44" i="1"/>
  <c r="P42" i="1"/>
  <c r="R42" i="1" s="1"/>
  <c r="AH42" i="1"/>
  <c r="W42" i="1"/>
  <c r="AM42" i="1"/>
  <c r="AF43" i="1"/>
  <c r="D44" i="1"/>
  <c r="G43" i="1"/>
  <c r="AB40" i="1"/>
  <c r="AK40" i="1"/>
  <c r="AN42" i="1"/>
  <c r="I45" i="1"/>
  <c r="AI44" i="1"/>
  <c r="X41" i="1"/>
  <c r="AA41" i="1"/>
  <c r="AC41" i="1"/>
  <c r="AL41" i="1"/>
  <c r="AC42" i="1" l="1"/>
  <c r="AL42" i="1"/>
  <c r="AJ44" i="1"/>
  <c r="M45" i="1"/>
  <c r="AH43" i="1"/>
  <c r="W43" i="1"/>
  <c r="P43" i="1"/>
  <c r="R43" i="1" s="1"/>
  <c r="AN43" i="1"/>
  <c r="AB41" i="1"/>
  <c r="AK41" i="1"/>
  <c r="G44" i="1"/>
  <c r="D45" i="1"/>
  <c r="AF44" i="1"/>
  <c r="AP41" i="1"/>
  <c r="AM43" i="1"/>
  <c r="F46" i="1"/>
  <c r="AG45" i="1"/>
  <c r="AI45" i="1"/>
  <c r="I46" i="1"/>
  <c r="AA42" i="1"/>
  <c r="X42" i="1"/>
  <c r="AP42" i="1" s="1"/>
  <c r="X43" i="1" l="1"/>
  <c r="AA43" i="1"/>
  <c r="AK42" i="1"/>
  <c r="AB42" i="1"/>
  <c r="D46" i="1"/>
  <c r="G45" i="1"/>
  <c r="AF45" i="1"/>
  <c r="AJ45" i="1"/>
  <c r="M46" i="1"/>
  <c r="AI46" i="1"/>
  <c r="I47" i="1"/>
  <c r="W44" i="1"/>
  <c r="AH44" i="1"/>
  <c r="P44" i="1"/>
  <c r="R44" i="1" s="1"/>
  <c r="AM44" i="1"/>
  <c r="AN44" i="1"/>
  <c r="AG46" i="1"/>
  <c r="F47" i="1"/>
  <c r="AC43" i="1"/>
  <c r="AL43" i="1"/>
  <c r="X44" i="1" l="1"/>
  <c r="AP44" i="1"/>
  <c r="AA44" i="1"/>
  <c r="AH45" i="1"/>
  <c r="P45" i="1"/>
  <c r="R45" i="1" s="1"/>
  <c r="W45" i="1"/>
  <c r="D47" i="1"/>
  <c r="AF46" i="1"/>
  <c r="G46" i="1"/>
  <c r="F48" i="1"/>
  <c r="AG47" i="1"/>
  <c r="AN46" i="1"/>
  <c r="AM46" i="1"/>
  <c r="AJ46" i="1"/>
  <c r="M47" i="1"/>
  <c r="AM45" i="1"/>
  <c r="AI47" i="1"/>
  <c r="I48" i="1"/>
  <c r="AB43" i="1"/>
  <c r="AK43" i="1"/>
  <c r="AC44" i="1"/>
  <c r="AL44" i="1"/>
  <c r="AN45" i="1"/>
  <c r="AP43" i="1"/>
  <c r="AF47" i="1" l="1"/>
  <c r="D48" i="1"/>
  <c r="G47" i="1"/>
  <c r="AM47" i="1" s="1"/>
  <c r="AA45" i="1"/>
  <c r="X45" i="1"/>
  <c r="AP45" i="1"/>
  <c r="AJ47" i="1"/>
  <c r="M48" i="1"/>
  <c r="AC45" i="1"/>
  <c r="AL45" i="1"/>
  <c r="I49" i="1"/>
  <c r="AI48" i="1"/>
  <c r="AG48" i="1"/>
  <c r="F49" i="1"/>
  <c r="P46" i="1"/>
  <c r="R46" i="1" s="1"/>
  <c r="W46" i="1"/>
  <c r="AH46" i="1"/>
  <c r="AB44" i="1"/>
  <c r="AK44" i="1"/>
  <c r="AG49" i="1" l="1"/>
  <c r="F50" i="1"/>
  <c r="AI49" i="1"/>
  <c r="I50" i="1"/>
  <c r="AK45" i="1"/>
  <c r="AB45" i="1"/>
  <c r="P47" i="1"/>
  <c r="R47" i="1" s="1"/>
  <c r="AH47" i="1"/>
  <c r="W47" i="1"/>
  <c r="AA46" i="1"/>
  <c r="X46" i="1"/>
  <c r="AP46" i="1"/>
  <c r="AJ48" i="1"/>
  <c r="M49" i="1"/>
  <c r="G48" i="1"/>
  <c r="AM48" i="1" s="1"/>
  <c r="D49" i="1"/>
  <c r="AF48" i="1"/>
  <c r="AC46" i="1"/>
  <c r="AL46" i="1"/>
  <c r="AN47" i="1"/>
  <c r="AN48" i="1" l="1"/>
  <c r="AJ49" i="1"/>
  <c r="M50" i="1"/>
  <c r="AC47" i="1"/>
  <c r="AL47" i="1"/>
  <c r="I51" i="1"/>
  <c r="AI50" i="1"/>
  <c r="AK46" i="1"/>
  <c r="AB46" i="1"/>
  <c r="D50" i="1"/>
  <c r="AF49" i="1"/>
  <c r="G49" i="1"/>
  <c r="F51" i="1"/>
  <c r="AG50" i="1"/>
  <c r="W48" i="1"/>
  <c r="P48" i="1"/>
  <c r="R48" i="1" s="1"/>
  <c r="AH48" i="1"/>
  <c r="AA47" i="1"/>
  <c r="X47" i="1"/>
  <c r="AP47" i="1" s="1"/>
  <c r="I52" i="1" l="1"/>
  <c r="AI51" i="1"/>
  <c r="F52" i="1"/>
  <c r="AG51" i="1"/>
  <c r="W49" i="1"/>
  <c r="AH49" i="1"/>
  <c r="P49" i="1"/>
  <c r="R49" i="1" s="1"/>
  <c r="AK47" i="1"/>
  <c r="AB47" i="1"/>
  <c r="AN50" i="1"/>
  <c r="AM50" i="1"/>
  <c r="AJ50" i="1"/>
  <c r="M51" i="1"/>
  <c r="X48" i="1"/>
  <c r="AA48" i="1"/>
  <c r="AP48" i="1"/>
  <c r="G50" i="1"/>
  <c r="D51" i="1"/>
  <c r="AF50" i="1"/>
  <c r="AM49" i="1"/>
  <c r="AN49" i="1"/>
  <c r="AL48" i="1"/>
  <c r="AC48" i="1"/>
  <c r="AC49" i="1" l="1"/>
  <c r="AL49" i="1"/>
  <c r="AB48" i="1"/>
  <c r="AK48" i="1"/>
  <c r="AJ51" i="1"/>
  <c r="M52" i="1"/>
  <c r="AP49" i="1"/>
  <c r="AA49" i="1"/>
  <c r="X49" i="1"/>
  <c r="AG52" i="1"/>
  <c r="G74" i="1"/>
  <c r="H74" i="1" s="1"/>
  <c r="AF51" i="1"/>
  <c r="D52" i="1"/>
  <c r="G51" i="1"/>
  <c r="AN51" i="1" s="1"/>
  <c r="P50" i="1"/>
  <c r="R50" i="1" s="1"/>
  <c r="W50" i="1"/>
  <c r="AH50" i="1"/>
  <c r="AI52" i="1"/>
  <c r="G76" i="1"/>
  <c r="H76" i="1" s="1"/>
  <c r="AA50" i="1" l="1"/>
  <c r="X50" i="1"/>
  <c r="AP50" i="1" s="1"/>
  <c r="AL50" i="1"/>
  <c r="AC50" i="1"/>
  <c r="W51" i="1"/>
  <c r="AH51" i="1"/>
  <c r="P51" i="1"/>
  <c r="R51" i="1" s="1"/>
  <c r="G77" i="1"/>
  <c r="H77" i="1" s="1"/>
  <c r="AJ52" i="1"/>
  <c r="G52" i="1"/>
  <c r="AN52" i="1" s="1"/>
  <c r="AF52" i="1"/>
  <c r="G73" i="1"/>
  <c r="H73" i="1" s="1"/>
  <c r="AM51" i="1"/>
  <c r="AB49" i="1"/>
  <c r="AK49" i="1"/>
  <c r="AC51" i="1" l="1"/>
  <c r="AL51" i="1"/>
  <c r="L73" i="1"/>
  <c r="L75" i="1" s="1"/>
  <c r="AD63" i="1" s="1"/>
  <c r="AA51" i="1"/>
  <c r="X51" i="1"/>
  <c r="AP51" i="1" s="1"/>
  <c r="G75" i="1"/>
  <c r="H75" i="1" s="1"/>
  <c r="AH52" i="1"/>
  <c r="P52" i="1"/>
  <c r="W52" i="1"/>
  <c r="AM52" i="1"/>
  <c r="AB50" i="1"/>
  <c r="AK50" i="1"/>
  <c r="L79" i="1" l="1"/>
  <c r="L81" i="1" s="1"/>
  <c r="R52" i="1"/>
  <c r="AB51" i="1"/>
  <c r="AK51" i="1"/>
  <c r="M73" i="1"/>
  <c r="M75" i="1" s="1"/>
  <c r="AD65" i="1" s="1"/>
  <c r="X52" i="1"/>
  <c r="AA52" i="1"/>
  <c r="AB52" i="1" l="1"/>
  <c r="Z65" i="1"/>
  <c r="AK52" i="1"/>
  <c r="AP52" i="1"/>
  <c r="Z63" i="1"/>
  <c r="AC52" i="1"/>
  <c r="AL52" i="1"/>
</calcChain>
</file>

<file path=xl/sharedStrings.xml><?xml version="1.0" encoding="utf-8"?>
<sst xmlns="http://schemas.openxmlformats.org/spreadsheetml/2006/main" count="270" uniqueCount="107">
  <si>
    <t>indications</t>
  </si>
  <si>
    <t>Paramètres initiaux</t>
  </si>
  <si>
    <t>Paramètres à régler</t>
  </si>
  <si>
    <t>Année de référence</t>
  </si>
  <si>
    <t>Taux d'évolution</t>
  </si>
  <si>
    <t>% retenu</t>
  </si>
  <si>
    <t>Min.</t>
  </si>
  <si>
    <t>tendance</t>
  </si>
  <si>
    <t>Max.</t>
  </si>
  <si>
    <t>Nombre de passagers</t>
  </si>
  <si>
    <t>en millions</t>
  </si>
  <si>
    <t>passagers annuels</t>
  </si>
  <si>
    <t>Optimisation de la prod. Amont</t>
  </si>
  <si>
    <t>Emport moyen</t>
  </si>
  <si>
    <t>emport moyen</t>
  </si>
  <si>
    <t>Diminution trainées de condensation</t>
  </si>
  <si>
    <t>Distance moyenne par vol</t>
  </si>
  <si>
    <t>en km</t>
  </si>
  <si>
    <t>augmentation distance</t>
  </si>
  <si>
    <t>ha annuels plantés pour compensation</t>
  </si>
  <si>
    <t>Conso moyenne par mvt</t>
  </si>
  <si>
    <t>en L</t>
  </si>
  <si>
    <t xml:space="preserve">efficacité énergétique </t>
  </si>
  <si>
    <t>Prorata pris en compte</t>
  </si>
  <si>
    <t>Facteur émission kerozène</t>
  </si>
  <si>
    <t>en kg CO2e/L</t>
  </si>
  <si>
    <t>Gain supp. technique</t>
  </si>
  <si>
    <t>Aviation du futur</t>
  </si>
  <si>
    <t>Coût carbone fabrication carburant</t>
  </si>
  <si>
    <t>Agro carburants</t>
  </si>
  <si>
    <t>Aviation du futur - année de mise en service</t>
  </si>
  <si>
    <t>Facteur émission trainées de condensation</t>
  </si>
  <si>
    <t>changement de carburant</t>
  </si>
  <si>
    <t>Mouvements totaux en milliers</t>
  </si>
  <si>
    <t>Distance moyenne</t>
  </si>
  <si>
    <t>efficacité énergétique</t>
  </si>
  <si>
    <t>intensité carbone</t>
  </si>
  <si>
    <t>émissions directes de CO2 totales en MT CO2e</t>
  </si>
  <si>
    <t>Efficacité amont</t>
  </si>
  <si>
    <t>Impact contrails</t>
  </si>
  <si>
    <t>émissions  totales en MT CO2e</t>
  </si>
  <si>
    <t>Compensation Carbone</t>
  </si>
  <si>
    <t>Total émissions nettes en MT CO2e</t>
  </si>
  <si>
    <t>Total émissions nettes selon convention en MT CO2e</t>
  </si>
  <si>
    <t>Total émissions nettes directes selon convention en MT CO2e</t>
  </si>
  <si>
    <t>Pour graphiques</t>
  </si>
  <si>
    <t>Année</t>
  </si>
  <si>
    <t>Evolution annuelle</t>
  </si>
  <si>
    <t>Nombre de passagers en millions</t>
  </si>
  <si>
    <t>Nombre de personne par vol</t>
  </si>
  <si>
    <t>Distance moyenne par vol en km (trajet complet)</t>
  </si>
  <si>
    <t>Evolution tendancielle</t>
  </si>
  <si>
    <t>Gain supplémentaire technique</t>
  </si>
  <si>
    <t>Consommation moyenne par mouvement en L de Kérozène</t>
  </si>
  <si>
    <t>Emissions de CO2 en kg par L de Kerozène</t>
  </si>
  <si>
    <t>Emissions directes de CO2 totales selon convention en MT CO2e</t>
  </si>
  <si>
    <t>Emissions de CO2 amont en Kg par L de Kerozène</t>
  </si>
  <si>
    <t>Emissions de CO2 contrails par L de Kerozène</t>
  </si>
  <si>
    <t>Emissions totales en MT CO2e selon convention</t>
  </si>
  <si>
    <t>Ha annuel plantés pour compensation</t>
  </si>
  <si>
    <t>Total émissions compensées en MT CO2e</t>
  </si>
  <si>
    <t>Nombre de personnes par vol</t>
  </si>
  <si>
    <t>Nombre de mouvements totaux</t>
  </si>
  <si>
    <t>Distance moyenne par vol en km</t>
  </si>
  <si>
    <t xml:space="preserve">Consommation moyenne par mouvement </t>
  </si>
  <si>
    <t>Emissions de GES</t>
  </si>
  <si>
    <t>Emissions directes de CO2 nettes en MT CO2e</t>
  </si>
  <si>
    <t>Emissions amont et autres gaz en MT CO2e</t>
  </si>
  <si>
    <t>Emissions liées aux trainées de condensation</t>
  </si>
  <si>
    <t>Emissions compensées</t>
  </si>
  <si>
    <t>Emissions non comptabilisées (seconde partie des vols)</t>
  </si>
  <si>
    <t>SITUATION 2050</t>
  </si>
  <si>
    <t>Objectif émissions France en 2050 en MT CO2e</t>
  </si>
  <si>
    <t>Budget Carbone France 2020- 2050 en MT CO2e</t>
  </si>
  <si>
    <t>Objectif émissions transport France en 2050 en MT CO2e</t>
  </si>
  <si>
    <t>Budget carbone transport France 2020-2050 en MT CO2e</t>
  </si>
  <si>
    <t>Emissions directes associées à l'aviation en MT CO2e</t>
  </si>
  <si>
    <t>cumul des émissions directes de l'aviation en MT CO2e</t>
  </si>
  <si>
    <t>Emissions totales associées à l'aviation en MT CO2e</t>
  </si>
  <si>
    <t>Cumul des émissions totales de l'aviation en MT CO2e</t>
  </si>
  <si>
    <t>Directes</t>
  </si>
  <si>
    <t>Totales</t>
  </si>
  <si>
    <t>Evolution des principaux paramètres</t>
  </si>
  <si>
    <t>Emissions de GES entre 2020 et 2030 en MT CO2e</t>
  </si>
  <si>
    <t>évolution</t>
  </si>
  <si>
    <t>Emissions de GES entre 2030 et 2050 en MT CO2e</t>
  </si>
  <si>
    <t>Objectifs 2030</t>
  </si>
  <si>
    <t>Nombre de mouvements</t>
  </si>
  <si>
    <t>en milliers</t>
  </si>
  <si>
    <t>Emissions de GES entre 2020 et 2050 en MT CO2e</t>
  </si>
  <si>
    <t>Objectif UE aviation 2030 par rapport à 2017</t>
  </si>
  <si>
    <t>Emissions par passagers km en 2020 en gCO2e</t>
  </si>
  <si>
    <t>Facteur émission kérosène</t>
  </si>
  <si>
    <t>Objectif selon trajectoire SNBC 2030</t>
  </si>
  <si>
    <t>Emissions par passagers km en 2050 en gCO2e</t>
  </si>
  <si>
    <t>Facteur émission traînées de condensation</t>
  </si>
  <si>
    <t>Objectif scénario 1,5°C compatible en 2030</t>
  </si>
  <si>
    <t>Evolution</t>
  </si>
  <si>
    <t xml:space="preserve">Evolution des émissions de l'aviation en 2030 </t>
  </si>
  <si>
    <t>Hectares de forêt plantés</t>
  </si>
  <si>
    <t>Emissions compensées en MT CO2e</t>
  </si>
  <si>
    <t>Cumul des émissions totales CDG en MT CO2e</t>
  </si>
  <si>
    <t>cumul des émissions directes CDG en MT CO2e</t>
  </si>
  <si>
    <t>Emissions totales associées à CDG en MT CO2e</t>
  </si>
  <si>
    <t>Emissions directes associées à CDG en MT CO2e</t>
  </si>
  <si>
    <t xml:space="preserve">Evolution des émissions de CDG  en 2030 </t>
  </si>
  <si>
    <t>Modèle de calcul utilisé pour le rapport "Climat : pouvons-nous (encore) prendre l'avion ?"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</si>
</sst>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_-* #,##0_-;\-* #,##0_-;_-* &quot;-&quot;??_-;_-@_-"/>
    <numFmt numFmtId="167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3F9AB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43" fontId="0" fillId="2" borderId="1" xfId="1" applyFont="1" applyFill="1" applyBorder="1" applyAlignment="1">
      <alignment wrapText="1"/>
    </xf>
    <xf numFmtId="10" fontId="0" fillId="3" borderId="1" xfId="0" applyNumberFormat="1" applyFill="1" applyBorder="1" applyAlignment="1">
      <alignment wrapText="1"/>
    </xf>
    <xf numFmtId="10" fontId="0" fillId="0" borderId="1" xfId="0" applyNumberFormat="1" applyBorder="1"/>
    <xf numFmtId="10" fontId="0" fillId="0" borderId="1" xfId="0" applyNumberFormat="1" applyBorder="1" applyAlignment="1">
      <alignment wrapText="1"/>
    </xf>
    <xf numFmtId="43" fontId="0" fillId="2" borderId="1" xfId="1" applyFont="1" applyFill="1" applyBorder="1"/>
    <xf numFmtId="43" fontId="0" fillId="3" borderId="1" xfId="1" applyFont="1" applyFill="1" applyBorder="1" applyAlignment="1">
      <alignment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10" fontId="0" fillId="4" borderId="1" xfId="0" applyNumberFormat="1" applyFill="1" applyBorder="1" applyAlignment="1">
      <alignment wrapText="1"/>
    </xf>
    <xf numFmtId="10" fontId="0" fillId="0" borderId="1" xfId="2" applyNumberFormat="1" applyFont="1" applyBorder="1"/>
    <xf numFmtId="10" fontId="0" fillId="0" borderId="1" xfId="2" applyNumberFormat="1" applyFont="1" applyBorder="1" applyAlignment="1">
      <alignment wrapText="1"/>
    </xf>
    <xf numFmtId="164" fontId="0" fillId="3" borderId="1" xfId="2" applyNumberFormat="1" applyFont="1" applyFill="1" applyBorder="1"/>
    <xf numFmtId="0" fontId="0" fillId="3" borderId="1" xfId="1" applyNumberFormat="1" applyFont="1" applyFill="1" applyBorder="1"/>
    <xf numFmtId="0" fontId="0" fillId="0" borderId="1" xfId="1" applyNumberFormat="1" applyFont="1" applyFill="1" applyBorder="1"/>
    <xf numFmtId="0" fontId="3" fillId="9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165" fontId="0" fillId="5" borderId="1" xfId="1" applyNumberFormat="1" applyFont="1" applyFill="1" applyBorder="1"/>
    <xf numFmtId="0" fontId="0" fillId="3" borderId="1" xfId="0" applyFill="1" applyBorder="1"/>
    <xf numFmtId="165" fontId="2" fillId="6" borderId="1" xfId="1" applyNumberFormat="1" applyFont="1" applyFill="1" applyBorder="1"/>
    <xf numFmtId="166" fontId="0" fillId="6" borderId="1" xfId="1" applyNumberFormat="1" applyFont="1" applyFill="1" applyBorder="1"/>
    <xf numFmtId="0" fontId="0" fillId="10" borderId="1" xfId="0" applyFill="1" applyBorder="1"/>
    <xf numFmtId="166" fontId="0" fillId="7" borderId="1" xfId="1" applyNumberFormat="1" applyFont="1" applyFill="1" applyBorder="1"/>
    <xf numFmtId="0" fontId="0" fillId="11" borderId="1" xfId="0" applyFill="1" applyBorder="1"/>
    <xf numFmtId="43" fontId="0" fillId="8" borderId="1" xfId="1" applyFont="1" applyFill="1" applyBorder="1"/>
    <xf numFmtId="0" fontId="0" fillId="12" borderId="1" xfId="0" applyFill="1" applyBorder="1"/>
    <xf numFmtId="0" fontId="0" fillId="9" borderId="1" xfId="0" applyFill="1" applyBorder="1"/>
    <xf numFmtId="43" fontId="0" fillId="9" borderId="1" xfId="1" applyFont="1" applyFill="1" applyBorder="1"/>
    <xf numFmtId="43" fontId="0" fillId="12" borderId="1" xfId="1" applyFont="1" applyFill="1" applyBorder="1"/>
    <xf numFmtId="0" fontId="0" fillId="8" borderId="1" xfId="0" applyFill="1" applyBorder="1"/>
    <xf numFmtId="0" fontId="0" fillId="5" borderId="1" xfId="0" applyFill="1" applyBorder="1"/>
    <xf numFmtId="43" fontId="0" fillId="3" borderId="1" xfId="1" applyFont="1" applyFill="1" applyBorder="1"/>
    <xf numFmtId="0" fontId="0" fillId="6" borderId="1" xfId="0" applyFill="1" applyBorder="1"/>
    <xf numFmtId="43" fontId="0" fillId="5" borderId="1" xfId="1" applyFont="1" applyFill="1" applyBorder="1"/>
    <xf numFmtId="43" fontId="0" fillId="6" borderId="1" xfId="1" applyFont="1" applyFill="1" applyBorder="1"/>
    <xf numFmtId="43" fontId="0" fillId="7" borderId="1" xfId="1" applyFont="1" applyFill="1" applyBorder="1"/>
    <xf numFmtId="165" fontId="2" fillId="5" borderId="1" xfId="1" applyNumberFormat="1" applyFont="1" applyFill="1" applyBorder="1"/>
    <xf numFmtId="164" fontId="0" fillId="3" borderId="1" xfId="0" applyNumberFormat="1" applyFill="1" applyBorder="1"/>
    <xf numFmtId="166" fontId="2" fillId="7" borderId="1" xfId="1" applyNumberFormat="1" applyFont="1" applyFill="1" applyBorder="1"/>
    <xf numFmtId="164" fontId="0" fillId="11" borderId="1" xfId="0" applyNumberFormat="1" applyFill="1" applyBorder="1"/>
    <xf numFmtId="164" fontId="0" fillId="11" borderId="1" xfId="2" applyNumberFormat="1" applyFont="1" applyFill="1" applyBorder="1"/>
    <xf numFmtId="166" fontId="2" fillId="8" borderId="1" xfId="1" applyNumberFormat="1" applyFont="1" applyFill="1" applyBorder="1"/>
    <xf numFmtId="164" fontId="0" fillId="12" borderId="1" xfId="0" applyNumberFormat="1" applyFill="1" applyBorder="1"/>
    <xf numFmtId="43" fontId="2" fillId="9" borderId="1" xfId="0" applyNumberFormat="1" applyFont="1" applyFill="1" applyBorder="1"/>
    <xf numFmtId="164" fontId="6" fillId="12" borderId="1" xfId="2" applyNumberFormat="1" applyFont="1" applyFill="1" applyBorder="1"/>
    <xf numFmtId="167" fontId="2" fillId="8" borderId="1" xfId="0" applyNumberFormat="1" applyFont="1" applyFill="1" applyBorder="1"/>
    <xf numFmtId="164" fontId="0" fillId="2" borderId="1" xfId="0" applyNumberFormat="1" applyFill="1" applyBorder="1"/>
    <xf numFmtId="167" fontId="2" fillId="5" borderId="1" xfId="0" applyNumberFormat="1" applyFont="1" applyFill="1" applyBorder="1"/>
    <xf numFmtId="167" fontId="0" fillId="9" borderId="1" xfId="0" applyNumberFormat="1" applyFill="1" applyBorder="1"/>
    <xf numFmtId="165" fontId="0" fillId="6" borderId="1" xfId="1" applyNumberFormat="1" applyFont="1" applyFill="1" applyBorder="1"/>
    <xf numFmtId="164" fontId="0" fillId="10" borderId="1" xfId="0" applyNumberFormat="1" applyFill="1" applyBorder="1"/>
    <xf numFmtId="166" fontId="0" fillId="8" borderId="1" xfId="1" applyNumberFormat="1" applyFont="1" applyFill="1" applyBorder="1"/>
    <xf numFmtId="167" fontId="0" fillId="8" borderId="1" xfId="0" applyNumberFormat="1" applyFill="1" applyBorder="1"/>
    <xf numFmtId="167" fontId="0" fillId="5" borderId="1" xfId="0" applyNumberFormat="1" applyFill="1" applyBorder="1"/>
    <xf numFmtId="167" fontId="0" fillId="6" borderId="1" xfId="0" applyNumberFormat="1" applyFill="1" applyBorder="1"/>
    <xf numFmtId="43" fontId="0" fillId="0" borderId="0" xfId="0" applyNumberFormat="1"/>
    <xf numFmtId="0" fontId="0" fillId="4" borderId="0" xfId="0" applyFill="1"/>
    <xf numFmtId="43" fontId="0" fillId="0" borderId="1" xfId="1" applyFont="1" applyFill="1" applyBorder="1" applyAlignment="1">
      <alignment wrapText="1"/>
    </xf>
    <xf numFmtId="9" fontId="0" fillId="0" borderId="1" xfId="2" applyFont="1" applyFill="1" applyBorder="1" applyAlignment="1">
      <alignment wrapText="1"/>
    </xf>
    <xf numFmtId="43" fontId="0" fillId="0" borderId="1" xfId="1" applyFont="1" applyFill="1" applyBorder="1"/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3" fontId="0" fillId="0" borderId="4" xfId="1" applyFont="1" applyBorder="1" applyAlignment="1">
      <alignment horizontal="right" vertical="center"/>
    </xf>
    <xf numFmtId="43" fontId="0" fillId="0" borderId="6" xfId="1" applyFont="1" applyBorder="1" applyAlignment="1">
      <alignment horizontal="right" vertical="center"/>
    </xf>
    <xf numFmtId="43" fontId="0" fillId="0" borderId="2" xfId="1" applyFont="1" applyBorder="1" applyAlignment="1">
      <alignment horizontal="right" vertical="center"/>
    </xf>
    <xf numFmtId="43" fontId="0" fillId="0" borderId="12" xfId="1" applyFont="1" applyBorder="1" applyAlignment="1">
      <alignment horizontal="right" vertical="center"/>
    </xf>
    <xf numFmtId="0" fontId="0" fillId="0" borderId="1" xfId="0" applyBorder="1" applyAlignment="1">
      <alignment horizontal="left"/>
    </xf>
    <xf numFmtId="9" fontId="0" fillId="0" borderId="10" xfId="2" applyFont="1" applyBorder="1" applyAlignment="1">
      <alignment horizontal="center" vertical="center"/>
    </xf>
    <xf numFmtId="9" fontId="0" fillId="0" borderId="11" xfId="2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9" fontId="0" fillId="0" borderId="4" xfId="2" applyFont="1" applyBorder="1" applyAlignment="1">
      <alignment horizontal="center" vertical="center"/>
    </xf>
    <xf numFmtId="9" fontId="0" fillId="0" borderId="6" xfId="2" applyFont="1" applyBorder="1" applyAlignment="1">
      <alignment horizontal="center" vertical="center"/>
    </xf>
    <xf numFmtId="9" fontId="0" fillId="0" borderId="13" xfId="2" applyFont="1" applyBorder="1" applyAlignment="1">
      <alignment horizontal="center" vertical="center"/>
    </xf>
    <xf numFmtId="9" fontId="0" fillId="0" borderId="14" xfId="2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3" fontId="0" fillId="0" borderId="16" xfId="0" applyNumberFormat="1" applyBorder="1" applyAlignment="1">
      <alignment horizontal="center" vertical="center"/>
    </xf>
    <xf numFmtId="43" fontId="0" fillId="0" borderId="17" xfId="0" applyNumberFormat="1" applyBorder="1" applyAlignment="1">
      <alignment horizontal="center" vertical="center"/>
    </xf>
    <xf numFmtId="43" fontId="0" fillId="0" borderId="2" xfId="0" applyNumberFormat="1" applyBorder="1" applyAlignment="1">
      <alignment horizontal="center" vertical="center"/>
    </xf>
    <xf numFmtId="43" fontId="0" fillId="0" borderId="12" xfId="0" applyNumberFormat="1" applyBorder="1" applyAlignment="1">
      <alignment horizontal="center" vertical="center"/>
    </xf>
    <xf numFmtId="167" fontId="0" fillId="0" borderId="16" xfId="0" applyNumberFormat="1" applyBorder="1" applyAlignment="1">
      <alignment horizontal="center" vertical="center"/>
    </xf>
    <xf numFmtId="167" fontId="0" fillId="0" borderId="17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12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43" fontId="0" fillId="0" borderId="1" xfId="2" applyNumberFormat="1" applyFont="1" applyBorder="1" applyAlignment="1">
      <alignment horizontal="center" vertical="center"/>
    </xf>
    <xf numFmtId="43" fontId="0" fillId="0" borderId="15" xfId="2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43" fontId="0" fillId="4" borderId="10" xfId="2" applyNumberFormat="1" applyFont="1" applyFill="1" applyBorder="1" applyAlignment="1">
      <alignment horizontal="center" vertical="center"/>
    </xf>
    <xf numFmtId="43" fontId="0" fillId="4" borderId="11" xfId="2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9" borderId="10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9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/>
    <xf numFmtId="0" fontId="0" fillId="0" borderId="0" xfId="0" applyFont="1"/>
    <xf numFmtId="0" fontId="10" fillId="4" borderId="0" xfId="0" applyFont="1" applyFill="1"/>
    <xf numFmtId="0" fontId="9" fillId="4" borderId="0" xfId="0" applyFont="1" applyFill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3F9A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'Scenario Vierge'!$D$18</c:f>
              <c:strCache>
                <c:ptCount val="1"/>
                <c:pt idx="0">
                  <c:v>Nombre de passagers en millions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'Scenario Vierge'!$B$20:$B$52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Vierge'!$D$20:$D$52</c:f>
              <c:numCache>
                <c:formatCode>_-* #\ ##0.0_-;\-* #\ ##0.0_-;_-* "-"??_-;_-@_-</c:formatCode>
                <c:ptCount val="33"/>
                <c:pt idx="0">
                  <c:v>172.4</c:v>
                </c:pt>
                <c:pt idx="1">
                  <c:v>177.0548</c:v>
                </c:pt>
                <c:pt idx="2">
                  <c:v>181.83527959999998</c:v>
                </c:pt>
                <c:pt idx="3">
                  <c:v>186.74483214919996</c:v>
                </c:pt>
                <c:pt idx="4">
                  <c:v>191.78694261722833</c:v>
                </c:pt>
                <c:pt idx="5">
                  <c:v>196.96519006789347</c:v>
                </c:pt>
                <c:pt idx="6">
                  <c:v>202.28325019972658</c:v>
                </c:pt>
                <c:pt idx="7">
                  <c:v>207.74489795511917</c:v>
                </c:pt>
                <c:pt idx="8">
                  <c:v>213.35401019990738</c:v>
                </c:pt>
                <c:pt idx="9">
                  <c:v>219.11456847530485</c:v>
                </c:pt>
                <c:pt idx="10">
                  <c:v>225.03066182413806</c:v>
                </c:pt>
                <c:pt idx="11">
                  <c:v>231.10648969338976</c:v>
                </c:pt>
                <c:pt idx="12">
                  <c:v>237.34636491511125</c:v>
                </c:pt>
                <c:pt idx="13">
                  <c:v>243.75471676781925</c:v>
                </c:pt>
                <c:pt idx="14">
                  <c:v>250.33609412055034</c:v>
                </c:pt>
                <c:pt idx="15">
                  <c:v>257.09516866180519</c:v>
                </c:pt>
                <c:pt idx="16">
                  <c:v>264.03673821567389</c:v>
                </c:pt>
                <c:pt idx="17">
                  <c:v>271.16573014749707</c:v>
                </c:pt>
                <c:pt idx="18">
                  <c:v>278.48720486147948</c:v>
                </c:pt>
                <c:pt idx="19">
                  <c:v>286.0063593927394</c:v>
                </c:pt>
                <c:pt idx="20">
                  <c:v>293.72853109634332</c:v>
                </c:pt>
                <c:pt idx="21">
                  <c:v>301.65920143594457</c:v>
                </c:pt>
                <c:pt idx="22">
                  <c:v>309.80399987471503</c:v>
                </c:pt>
                <c:pt idx="23">
                  <c:v>318.16870787133229</c:v>
                </c:pt>
                <c:pt idx="24">
                  <c:v>326.75926298385821</c:v>
                </c:pt>
                <c:pt idx="25">
                  <c:v>335.58176308442233</c:v>
                </c:pt>
                <c:pt idx="26">
                  <c:v>344.64247068770169</c:v>
                </c:pt>
                <c:pt idx="27">
                  <c:v>353.94781739626961</c:v>
                </c:pt>
                <c:pt idx="28">
                  <c:v>363.50440846596888</c:v>
                </c:pt>
                <c:pt idx="29">
                  <c:v>373.31902749455003</c:v>
                </c:pt>
                <c:pt idx="30">
                  <c:v>383.39864123690285</c:v>
                </c:pt>
                <c:pt idx="31">
                  <c:v>393.75040455029921</c:v>
                </c:pt>
                <c:pt idx="32">
                  <c:v>404.38166547315723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94-46EB-8D52-CB55A03D0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4154895"/>
        <c:axId val="1552427343"/>
      </c:lineChart>
      <c:catAx>
        <c:axId val="16041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2427343"/>
        <c:crosses val="autoZero"/>
        <c:auto val="1"/>
        <c:lblAlgn val="ctr"/>
        <c:lblOffset val="100"/>
        <c:tickMarkSkip val="1"/>
        <c:noMultiLvlLbl val="0"/>
      </c:catAx>
      <c:valAx>
        <c:axId val="155242734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41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des émissions de GES liées à l'aéroport</a:t>
            </a:r>
            <a:r>
              <a:rPr lang="fr-FR" baseline="0"/>
              <a:t> CDG </a:t>
            </a:r>
            <a:r>
              <a:rPr lang="fr-FR"/>
              <a:t>en Mt CO2e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5802257644803823E-2"/>
          <c:y val="0.12962864096639651"/>
          <c:w val="0.65512959221510103"/>
          <c:h val="0.76393807233663602"/>
        </c:manualLayout>
      </c:layout>
      <c:areaChart>
        <c:grouping val="stacked"/>
        <c:varyColors val="0"/>
        <c:ser>
          <c:idx val="0"/>
          <c:order val="0"/>
          <c:tx>
            <c:strRef>
              <c:f>'Scenario ViergeT4'!$AL$17</c:f>
              <c:strCache>
                <c:ptCount val="1"/>
                <c:pt idx="0">
                  <c:v>Emissions directes de CO2 nettes en MT CO2e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'Scenario ViergeT4'!$B$19:$B$51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ViergeT4'!$AL$19:$AL$51</c:f>
              <c:numCache>
                <c:formatCode>_(* #,##0.00_);_(* \(#,##0.00\);_(* "-"??_);_(@_)</c:formatCode>
                <c:ptCount val="33"/>
                <c:pt idx="0">
                  <c:v>13.255000000000003</c:v>
                </c:pt>
                <c:pt idx="1">
                  <c:v>13.295183307646198</c:v>
                </c:pt>
                <c:pt idx="2">
                  <c:v>13.335488433339432</c:v>
                </c:pt>
                <c:pt idx="3">
                  <c:v>13.375915746378221</c:v>
                </c:pt>
                <c:pt idx="4">
                  <c:v>13.344315617180664</c:v>
                </c:pt>
                <c:pt idx="5">
                  <c:v>13.312838417287781</c:v>
                </c:pt>
                <c:pt idx="6">
                  <c:v>13.281484519366948</c:v>
                </c:pt>
                <c:pt idx="7">
                  <c:v>13.250254297215303</c:v>
                </c:pt>
                <c:pt idx="8">
                  <c:v>13.219148125763178</c:v>
                </c:pt>
                <c:pt idx="9">
                  <c:v>13.269163802570548</c:v>
                </c:pt>
                <c:pt idx="10">
                  <c:v>13.320278490022293</c:v>
                </c:pt>
                <c:pt idx="11">
                  <c:v>13.372502074892088</c:v>
                </c:pt>
                <c:pt idx="12">
                  <c:v>13.384242972699926</c:v>
                </c:pt>
                <c:pt idx="13">
                  <c:v>13.312784886280939</c:v>
                </c:pt>
                <c:pt idx="14">
                  <c:v>13.241326833976125</c:v>
                </c:pt>
                <c:pt idx="15">
                  <c:v>13.169868815787165</c:v>
                </c:pt>
                <c:pt idx="16">
                  <c:v>13.098410831715738</c:v>
                </c:pt>
                <c:pt idx="17">
                  <c:v>13.026952881763529</c:v>
                </c:pt>
                <c:pt idx="18">
                  <c:v>12.955494965932221</c:v>
                </c:pt>
                <c:pt idx="19">
                  <c:v>12.967765337210913</c:v>
                </c:pt>
                <c:pt idx="20">
                  <c:v>13.073724136553748</c:v>
                </c:pt>
                <c:pt idx="21">
                  <c:v>13.461616415173836</c:v>
                </c:pt>
                <c:pt idx="22">
                  <c:v>13.864308333024404</c:v>
                </c:pt>
                <c:pt idx="23">
                  <c:v>14.282275997045035</c:v>
                </c:pt>
                <c:pt idx="24">
                  <c:v>14.716010830617448</c:v>
                </c:pt>
                <c:pt idx="25">
                  <c:v>15.166020066298074</c:v>
                </c:pt>
                <c:pt idx="26">
                  <c:v>15.632827254401938</c:v>
                </c:pt>
                <c:pt idx="27">
                  <c:v>16.116972787947738</c:v>
                </c:pt>
                <c:pt idx="28">
                  <c:v>16.619014444490535</c:v>
                </c:pt>
                <c:pt idx="29">
                  <c:v>17.139527945385282</c:v>
                </c:pt>
                <c:pt idx="30">
                  <c:v>17.679107533041943</c:v>
                </c:pt>
                <c:pt idx="31">
                  <c:v>18.238366566750997</c:v>
                </c:pt>
                <c:pt idx="32">
                  <c:v>18.627093701943895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A-459C-8D8D-AA95859E08A3}"/>
            </c:ext>
          </c:extLst>
        </c:ser>
        <c:ser>
          <c:idx val="1"/>
          <c:order val="1"/>
          <c:tx>
            <c:strRef>
              <c:f>'Scenario ViergeT4'!$AM$17</c:f>
              <c:strCache>
                <c:ptCount val="1"/>
                <c:pt idx="0">
                  <c:v>Emissions amont et autres gaz en MT CO2e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'Scenario ViergeT4'!$B$19:$B$51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ViergeT4'!$AM$19:$AM$51</c:f>
              <c:numCache>
                <c:formatCode>_(* #,##0.00_);_(* \(#,##0.00\);_(* "-"??_);_(@_)</c:formatCode>
                <c:ptCount val="33"/>
                <c:pt idx="0">
                  <c:v>2.9161000000000001</c:v>
                </c:pt>
                <c:pt idx="1">
                  <c:v>2.933741552339181</c:v>
                </c:pt>
                <c:pt idx="2">
                  <c:v>2.9514898309116666</c:v>
                </c:pt>
                <c:pt idx="3">
                  <c:v>2.9693454813799587</c:v>
                </c:pt>
                <c:pt idx="4">
                  <c:v>2.9873091533126352</c:v>
                </c:pt>
                <c:pt idx="5">
                  <c:v>3.0053815002079682</c:v>
                </c:pt>
                <c:pt idx="6">
                  <c:v>3.0235631795177054</c:v>
                </c:pt>
                <c:pt idx="7">
                  <c:v>3.0418548526709861</c:v>
                </c:pt>
                <c:pt idx="8">
                  <c:v>3.0602571850984028</c:v>
                </c:pt>
                <c:pt idx="9">
                  <c:v>3.0970787006442508</c:v>
                </c:pt>
                <c:pt idx="10">
                  <c:v>3.1343432586944</c:v>
                </c:pt>
                <c:pt idx="11">
                  <c:v>3.1720561900088078</c:v>
                </c:pt>
                <c:pt idx="12">
                  <c:v>3.2007345459722796</c:v>
                </c:pt>
                <c:pt idx="13">
                  <c:v>3.2105239270690258</c:v>
                </c:pt>
                <c:pt idx="14">
                  <c:v>3.220343248787489</c:v>
                </c:pt>
                <c:pt idx="15">
                  <c:v>3.2301926027004475</c:v>
                </c:pt>
                <c:pt idx="16">
                  <c:v>3.2400720806607541</c:v>
                </c:pt>
                <c:pt idx="17">
                  <c:v>3.2499817748021904</c:v>
                </c:pt>
                <c:pt idx="18">
                  <c:v>3.2599217775403284</c:v>
                </c:pt>
                <c:pt idx="19">
                  <c:v>3.2893945206285005</c:v>
                </c:pt>
                <c:pt idx="20">
                  <c:v>3.3409030852502353</c:v>
                </c:pt>
                <c:pt idx="21">
                  <c:v>3.4587567824855232</c:v>
                </c:pt>
                <c:pt idx="22">
                  <c:v>3.5807678867444825</c:v>
                </c:pt>
                <c:pt idx="23">
                  <c:v>3.7070830547172813</c:v>
                </c:pt>
                <c:pt idx="24">
                  <c:v>3.8378541165554885</c:v>
                </c:pt>
                <c:pt idx="25">
                  <c:v>3.9732382583711008</c:v>
                </c:pt>
                <c:pt idx="26">
                  <c:v>4.1133982111734007</c:v>
                </c:pt>
                <c:pt idx="27">
                  <c:v>4.2585024464707546</c:v>
                </c:pt>
                <c:pt idx="28">
                  <c:v>4.4087253787724574</c:v>
                </c:pt>
                <c:pt idx="29">
                  <c:v>4.5642475752340355</c:v>
                </c:pt>
                <c:pt idx="30">
                  <c:v>4.7252559726979921</c:v>
                </c:pt>
                <c:pt idx="31">
                  <c:v>4.8919441023908865</c:v>
                </c:pt>
                <c:pt idx="32">
                  <c:v>5.0182894302511736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4A-459C-8D8D-AA95859E08A3}"/>
            </c:ext>
          </c:extLst>
        </c:ser>
        <c:ser>
          <c:idx val="2"/>
          <c:order val="2"/>
          <c:tx>
            <c:strRef>
              <c:f>'Scenario ViergeT4'!$AN$17</c:f>
              <c:strCache>
                <c:ptCount val="1"/>
                <c:pt idx="0">
                  <c:v>Emissions liées aux trainées de condensation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'Scenario ViergeT4'!$B$19:$B$51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ViergeT4'!$AN$19:$AN$51</c:f>
              <c:numCache>
                <c:formatCode>_(* #,##0.00_);_(* \(#,##0.00\);_(* "-"??_);_(@_)</c:formatCode>
                <c:ptCount val="33"/>
                <c:pt idx="0">
                  <c:v>13.255000000000003</c:v>
                </c:pt>
                <c:pt idx="1">
                  <c:v>13.335188874269004</c:v>
                </c:pt>
                <c:pt idx="2">
                  <c:v>13.415862867780302</c:v>
                </c:pt>
                <c:pt idx="3">
                  <c:v>13.497024915363447</c:v>
                </c:pt>
                <c:pt idx="4">
                  <c:v>13.578677969602886</c:v>
                </c:pt>
                <c:pt idx="5">
                  <c:v>13.660825000945309</c:v>
                </c:pt>
                <c:pt idx="6">
                  <c:v>13.743468997807753</c:v>
                </c:pt>
                <c:pt idx="7">
                  <c:v>13.135282318351985</c:v>
                </c:pt>
                <c:pt idx="8">
                  <c:v>12.554009588869583</c:v>
                </c:pt>
                <c:pt idx="9">
                  <c:v>12.069808413476656</c:v>
                </c:pt>
                <c:pt idx="10">
                  <c:v>11.60428260841798</c:v>
                </c:pt>
                <c:pt idx="11">
                  <c:v>11.156711875034967</c:v>
                </c:pt>
                <c:pt idx="12">
                  <c:v>10.694700039943244</c:v>
                </c:pt>
                <c:pt idx="13">
                  <c:v>10.191039083062138</c:v>
                </c:pt>
                <c:pt idx="14">
                  <c:v>9.7110977591337075</c:v>
                </c:pt>
                <c:pt idx="15">
                  <c:v>9.2537590052216192</c:v>
                </c:pt>
                <c:pt idx="16">
                  <c:v>8.8179583658479324</c:v>
                </c:pt>
                <c:pt idx="17">
                  <c:v>8.8449279110253496</c:v>
                </c:pt>
                <c:pt idx="18">
                  <c:v>8.8719799420046837</c:v>
                </c:pt>
                <c:pt idx="19">
                  <c:v>8.9521909419481904</c:v>
                </c:pt>
                <c:pt idx="20">
                  <c:v>9.0923731252490079</c:v>
                </c:pt>
                <c:pt idx="21">
                  <c:v>9.4131156796152933</c:v>
                </c:pt>
                <c:pt idx="22">
                  <c:v>9.7451727483294022</c:v>
                </c:pt>
                <c:pt idx="23">
                  <c:v>10.088943462199472</c:v>
                </c:pt>
                <c:pt idx="24">
                  <c:v>10.444841031772022</c:v>
                </c:pt>
                <c:pt idx="25">
                  <c:v>10.813293244008813</c:v>
                </c:pt>
                <c:pt idx="26">
                  <c:v>11.19474297648447</c:v>
                </c:pt>
                <c:pt idx="27">
                  <c:v>11.589648729722937</c:v>
                </c:pt>
                <c:pt idx="28">
                  <c:v>11.998485178312647</c:v>
                </c:pt>
                <c:pt idx="29">
                  <c:v>12.421743741462805</c:v>
                </c:pt>
                <c:pt idx="30">
                  <c:v>12.859933173686651</c:v>
                </c:pt>
                <c:pt idx="31">
                  <c:v>13.31358017632162</c:v>
                </c:pt>
                <c:pt idx="32">
                  <c:v>13.657432971276794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4A-459C-8D8D-AA95859E08A3}"/>
            </c:ext>
          </c:extLst>
        </c:ser>
        <c:ser>
          <c:idx val="3"/>
          <c:order val="3"/>
          <c:tx>
            <c:strRef>
              <c:f>'Scenario ViergeT4'!$AO$17</c:f>
              <c:strCache>
                <c:ptCount val="1"/>
                <c:pt idx="0">
                  <c:v>Emissions compensées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'Scenario ViergeT4'!$B$19:$B$51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ViergeT4'!$AO$19:$AO$51</c:f>
              <c:numCache>
                <c:formatCode>_(* #,##0.00_);_(* \(#,##0.00\);_(*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7.2150000000000006E-2</c:v>
                </c:pt>
                <c:pt idx="5">
                  <c:v>0.14430000000000001</c:v>
                </c:pt>
                <c:pt idx="6">
                  <c:v>0.21645</c:v>
                </c:pt>
                <c:pt idx="7">
                  <c:v>0.28860000000000002</c:v>
                </c:pt>
                <c:pt idx="8">
                  <c:v>0.36075000000000002</c:v>
                </c:pt>
                <c:pt idx="9">
                  <c:v>0.43290000000000001</c:v>
                </c:pt>
                <c:pt idx="10">
                  <c:v>0.50505</c:v>
                </c:pt>
                <c:pt idx="11">
                  <c:v>0.57720000000000005</c:v>
                </c:pt>
                <c:pt idx="12">
                  <c:v>0.64934999999999998</c:v>
                </c:pt>
                <c:pt idx="13">
                  <c:v>0.72150000000000003</c:v>
                </c:pt>
                <c:pt idx="14">
                  <c:v>0.79364999999999997</c:v>
                </c:pt>
                <c:pt idx="15">
                  <c:v>0.86580000000000001</c:v>
                </c:pt>
                <c:pt idx="16">
                  <c:v>0.93794999999999995</c:v>
                </c:pt>
                <c:pt idx="17">
                  <c:v>1.0101</c:v>
                </c:pt>
                <c:pt idx="18">
                  <c:v>1.0822499999999999</c:v>
                </c:pt>
                <c:pt idx="19">
                  <c:v>1.1544000000000001</c:v>
                </c:pt>
                <c:pt idx="20">
                  <c:v>1.22655</c:v>
                </c:pt>
                <c:pt idx="21">
                  <c:v>1.2987</c:v>
                </c:pt>
                <c:pt idx="22">
                  <c:v>1.3708499999999999</c:v>
                </c:pt>
                <c:pt idx="23">
                  <c:v>1.4430000000000001</c:v>
                </c:pt>
                <c:pt idx="24">
                  <c:v>1.51515</c:v>
                </c:pt>
                <c:pt idx="25">
                  <c:v>1.5872999999999999</c:v>
                </c:pt>
                <c:pt idx="26">
                  <c:v>1.6594500000000001</c:v>
                </c:pt>
                <c:pt idx="27">
                  <c:v>1.7316</c:v>
                </c:pt>
                <c:pt idx="28">
                  <c:v>1.80375</c:v>
                </c:pt>
                <c:pt idx="29">
                  <c:v>1.8758999999999999</c:v>
                </c:pt>
                <c:pt idx="30">
                  <c:v>1.9480500000000001</c:v>
                </c:pt>
                <c:pt idx="31">
                  <c:v>2.0202</c:v>
                </c:pt>
                <c:pt idx="32">
                  <c:v>2.0923500000000002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4A-459C-8D8D-AA95859E08A3}"/>
            </c:ext>
          </c:extLst>
        </c:ser>
        <c:ser>
          <c:idx val="4"/>
          <c:order val="4"/>
          <c:tx>
            <c:strRef>
              <c:f>'Scenario ViergeT4'!$AP$17</c:f>
              <c:strCache>
                <c:ptCount val="1"/>
                <c:pt idx="0">
                  <c:v>Emissions non comptabilisées (seconde partie des vols)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'Scenario ViergeT4'!$B$19:$B$51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ViergeT4'!$AP$19:$AP$51</c:f>
              <c:numCache>
                <c:formatCode>_(* #,##0.00_);_(* \(#,##0.00\);_(* "-"??_);_(@_)</c:formatCode>
                <c:ptCount val="33"/>
                <c:pt idx="0">
                  <c:v>29.426100000000005</c:v>
                </c:pt>
                <c:pt idx="1">
                  <c:v>29.564113734254388</c:v>
                </c:pt>
                <c:pt idx="2">
                  <c:v>29.702841132031395</c:v>
                </c:pt>
                <c:pt idx="3">
                  <c:v>29.84228614312163</c:v>
                </c:pt>
                <c:pt idx="4">
                  <c:v>29.982452740096182</c:v>
                </c:pt>
                <c:pt idx="5">
                  <c:v>30.123344918441056</c:v>
                </c:pt>
                <c:pt idx="6">
                  <c:v>30.264966696692412</c:v>
                </c:pt>
                <c:pt idx="7">
                  <c:v>29.715991468238272</c:v>
                </c:pt>
                <c:pt idx="8">
                  <c:v>29.194164899731163</c:v>
                </c:pt>
                <c:pt idx="9">
                  <c:v>28.868950916691453</c:v>
                </c:pt>
                <c:pt idx="10">
                  <c:v>28.563954357134676</c:v>
                </c:pt>
                <c:pt idx="11">
                  <c:v>28.278470139935859</c:v>
                </c:pt>
                <c:pt idx="12">
                  <c:v>27.929027558615449</c:v>
                </c:pt>
                <c:pt idx="13">
                  <c:v>27.435847896412103</c:v>
                </c:pt>
                <c:pt idx="14">
                  <c:v>26.966417841897318</c:v>
                </c:pt>
                <c:pt idx="15">
                  <c:v>26.519620423709224</c:v>
                </c:pt>
                <c:pt idx="16">
                  <c:v>26.094391278224425</c:v>
                </c:pt>
                <c:pt idx="17">
                  <c:v>26.131962567591067</c:v>
                </c:pt>
                <c:pt idx="18">
                  <c:v>26.169646685477236</c:v>
                </c:pt>
                <c:pt idx="19">
                  <c:v>26.363750799787603</c:v>
                </c:pt>
                <c:pt idx="20">
                  <c:v>26.733550347052986</c:v>
                </c:pt>
                <c:pt idx="21">
                  <c:v>27.632188877274654</c:v>
                </c:pt>
                <c:pt idx="22">
                  <c:v>28.561098968098285</c:v>
                </c:pt>
                <c:pt idx="23">
                  <c:v>29.521302513961789</c:v>
                </c:pt>
                <c:pt idx="24">
                  <c:v>30.513855978944957</c:v>
                </c:pt>
                <c:pt idx="25">
                  <c:v>31.539851568677989</c:v>
                </c:pt>
                <c:pt idx="26">
                  <c:v>32.600418442059812</c:v>
                </c:pt>
                <c:pt idx="27">
                  <c:v>33.69672396414142</c:v>
                </c:pt>
                <c:pt idx="28">
                  <c:v>34.829975001575633</c:v>
                </c:pt>
                <c:pt idx="29">
                  <c:v>36.001419262082123</c:v>
                </c:pt>
                <c:pt idx="30">
                  <c:v>37.212346679426581</c:v>
                </c:pt>
                <c:pt idx="31">
                  <c:v>38.46409084546351</c:v>
                </c:pt>
                <c:pt idx="32">
                  <c:v>39.395166103471858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4A-459C-8D8D-AA95859E0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2775439"/>
        <c:axId val="1602831247"/>
      </c:areaChart>
      <c:catAx>
        <c:axId val="16027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2831247"/>
        <c:crosses val="autoZero"/>
        <c:auto val="1"/>
        <c:lblAlgn val="ctr"/>
        <c:lblOffset val="100"/>
        <c:noMultiLvlLbl val="0"/>
      </c:catAx>
      <c:valAx>
        <c:axId val="1602831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27754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2528449454552"/>
          <c:y val="0.3031258290246982"/>
          <c:w val="0.21867261358221424"/>
          <c:h val="0.484931977319535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'Scenario Vierge'!$G$17</c:f>
              <c:strCache>
                <c:ptCount val="1"/>
                <c:pt idx="0">
                  <c:v>Mouvements totaux en milliers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'Scenario Vierge'!$B$20:$B$52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Vierge'!$G$20:$G$52</c:f>
              <c:numCache>
                <c:formatCode>_-* #\ ##0_-;\-* #\ ##0_-;_-* "-"??_-;_-@_-</c:formatCode>
                <c:ptCount val="33"/>
                <c:pt idx="0">
                  <c:v>1574.4292237442924</c:v>
                </c:pt>
                <c:pt idx="1">
                  <c:v>1585.2341301817532</c:v>
                </c:pt>
                <c:pt idx="2">
                  <c:v>1596.1131879379022</c:v>
                </c:pt>
                <c:pt idx="3">
                  <c:v>1607.0669058943388</c:v>
                </c:pt>
                <c:pt idx="4">
                  <c:v>1618.0957964249858</c:v>
                </c:pt>
                <c:pt idx="5">
                  <c:v>1629.2003754200591</c:v>
                </c:pt>
                <c:pt idx="6">
                  <c:v>1640.3811623101965</c:v>
                </c:pt>
                <c:pt idx="7">
                  <c:v>1651.6386800907562</c:v>
                </c:pt>
                <c:pt idx="8">
                  <c:v>1662.9734553462811</c:v>
                </c:pt>
                <c:pt idx="9">
                  <c:v>1674.386018275128</c:v>
                </c:pt>
                <c:pt idx="10">
                  <c:v>1685.8769027142707</c:v>
                </c:pt>
                <c:pt idx="11">
                  <c:v>1697.4466461642705</c:v>
                </c:pt>
                <c:pt idx="12">
                  <c:v>1709.0957898144172</c:v>
                </c:pt>
                <c:pt idx="13">
                  <c:v>1720.8248785680453</c:v>
                </c:pt>
                <c:pt idx="14">
                  <c:v>1732.6344610680219</c:v>
                </c:pt>
                <c:pt idx="15">
                  <c:v>1744.52508972241</c:v>
                </c:pt>
                <c:pt idx="16">
                  <c:v>1756.4973207303087</c:v>
                </c:pt>
                <c:pt idx="17">
                  <c:v>1768.5517141078692</c:v>
                </c:pt>
                <c:pt idx="18">
                  <c:v>1780.6888337144917</c:v>
                </c:pt>
                <c:pt idx="19">
                  <c:v>1792.9092472791988</c:v>
                </c:pt>
                <c:pt idx="20">
                  <c:v>1805.2135264271928</c:v>
                </c:pt>
                <c:pt idx="21">
                  <c:v>1817.602246706595</c:v>
                </c:pt>
                <c:pt idx="22">
                  <c:v>1830.0759876153656</c:v>
                </c:pt>
                <c:pt idx="23">
                  <c:v>1842.6353326284118</c:v>
                </c:pt>
                <c:pt idx="24">
                  <c:v>1855.2808692248809</c:v>
                </c:pt>
                <c:pt idx="25">
                  <c:v>1868.0131889156398</c:v>
                </c:pt>
                <c:pt idx="26">
                  <c:v>1880.8328872709428</c:v>
                </c:pt>
                <c:pt idx="27">
                  <c:v>1893.740563948292</c:v>
                </c:pt>
                <c:pt idx="28">
                  <c:v>1906.7368227204861</c:v>
                </c:pt>
                <c:pt idx="29">
                  <c:v>1919.8222715038621</c:v>
                </c:pt>
                <c:pt idx="30">
                  <c:v>1932.9975223867318</c:v>
                </c:pt>
                <c:pt idx="31">
                  <c:v>1946.2631916580131</c:v>
                </c:pt>
                <c:pt idx="32">
                  <c:v>1959.6198998360578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27-4A37-8E46-8B93629AD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4154895"/>
        <c:axId val="1552427343"/>
      </c:lineChart>
      <c:catAx>
        <c:axId val="16041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2427343"/>
        <c:crosses val="autoZero"/>
        <c:auto val="1"/>
        <c:lblAlgn val="ctr"/>
        <c:lblOffset val="100"/>
        <c:tickMarkSkip val="1"/>
        <c:noMultiLvlLbl val="0"/>
      </c:catAx>
      <c:valAx>
        <c:axId val="155242734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41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'Scenario Vierge'!$M$18</c:f>
              <c:strCache>
                <c:ptCount val="1"/>
                <c:pt idx="0">
                  <c:v>Consommation moyenne par mouvement en L de Kérozène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'Scenario Vierge'!$B$20:$B$52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Vierge'!$M$20:$M$52</c:f>
              <c:numCache>
                <c:formatCode>_-* #\ ##0_-;\-* #\ ##0_-;_-* "-"??_-;_-@_-</c:formatCode>
                <c:ptCount val="33"/>
                <c:pt idx="0">
                  <c:v>10178.886369362561</c:v>
                </c:pt>
                <c:pt idx="1">
                  <c:v>10280.675233056187</c:v>
                </c:pt>
                <c:pt idx="2">
                  <c:v>10383.481985386748</c:v>
                </c:pt>
                <c:pt idx="3">
                  <c:v>10487.316805240616</c:v>
                </c:pt>
                <c:pt idx="4">
                  <c:v>10592.189973293023</c:v>
                </c:pt>
                <c:pt idx="5">
                  <c:v>10698.111873025953</c:v>
                </c:pt>
                <c:pt idx="6">
                  <c:v>10805.092991756213</c:v>
                </c:pt>
                <c:pt idx="7">
                  <c:v>10913.143921673776</c:v>
                </c:pt>
                <c:pt idx="8">
                  <c:v>11022.275360890515</c:v>
                </c:pt>
                <c:pt idx="9">
                  <c:v>11198.631766664763</c:v>
                </c:pt>
                <c:pt idx="10">
                  <c:v>11377.809874931399</c:v>
                </c:pt>
                <c:pt idx="11">
                  <c:v>11559.854832930301</c:v>
                </c:pt>
                <c:pt idx="12">
                  <c:v>11744.812510257187</c:v>
                </c:pt>
                <c:pt idx="13">
                  <c:v>11862.260635359758</c:v>
                </c:pt>
                <c:pt idx="14">
                  <c:v>11980.883241713356</c:v>
                </c:pt>
                <c:pt idx="15">
                  <c:v>12100.692074130489</c:v>
                </c:pt>
                <c:pt idx="16">
                  <c:v>12221.698994871795</c:v>
                </c:pt>
                <c:pt idx="17">
                  <c:v>12343.915984820513</c:v>
                </c:pt>
                <c:pt idx="18">
                  <c:v>12467.355144668718</c:v>
                </c:pt>
                <c:pt idx="19">
                  <c:v>12666.832826983418</c:v>
                </c:pt>
                <c:pt idx="20">
                  <c:v>12869.502152215153</c:v>
                </c:pt>
                <c:pt idx="21">
                  <c:v>13075.414186650596</c:v>
                </c:pt>
                <c:pt idx="22">
                  <c:v>13166.942085957151</c:v>
                </c:pt>
                <c:pt idx="23">
                  <c:v>13259.110680558853</c:v>
                </c:pt>
                <c:pt idx="24">
                  <c:v>13351.924455322767</c:v>
                </c:pt>
                <c:pt idx="25">
                  <c:v>13445.387926510028</c:v>
                </c:pt>
                <c:pt idx="26">
                  <c:v>13539.5056419956</c:v>
                </c:pt>
                <c:pt idx="27">
                  <c:v>13634.282181489571</c:v>
                </c:pt>
                <c:pt idx="28">
                  <c:v>13729.722156759999</c:v>
                </c:pt>
                <c:pt idx="29">
                  <c:v>13825.830211857321</c:v>
                </c:pt>
                <c:pt idx="30">
                  <c:v>13922.611023340323</c:v>
                </c:pt>
                <c:pt idx="31">
                  <c:v>14020.069300503706</c:v>
                </c:pt>
                <c:pt idx="32">
                  <c:v>14118.209785607234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8-418F-990B-406042B07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4154895"/>
        <c:axId val="1552427343"/>
      </c:lineChart>
      <c:catAx>
        <c:axId val="16041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2427343"/>
        <c:crosses val="autoZero"/>
        <c:auto val="1"/>
        <c:lblAlgn val="ctr"/>
        <c:lblOffset val="100"/>
        <c:tickMarkSkip val="1"/>
        <c:noMultiLvlLbl val="0"/>
      </c:catAx>
      <c:valAx>
        <c:axId val="155242734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41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des différents paramètres (base</a:t>
            </a:r>
            <a:r>
              <a:rPr lang="fr-FR" baseline="0"/>
              <a:t> 1 en 2018)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309183230709794E-2"/>
          <c:y val="9.2220672734402667E-2"/>
          <c:w val="0.65019105968095348"/>
          <c:h val="0.70587364650128881"/>
        </c:manualLayout>
      </c:layout>
      <c:lineChart>
        <c:grouping val="standard"/>
        <c:varyColors val="0"/>
        <c:ser>
          <c:idx val="1"/>
          <c:order val="0"/>
          <c:tx>
            <c:strRef>
              <c:f>'Scenario Vierge'!$AF$18</c:f>
              <c:strCache>
                <c:ptCount val="1"/>
                <c:pt idx="0">
                  <c:v>Nombre de passagers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'Scenario Vierge'!$AE$20:$AE$52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Vierge'!$AF$20:$AF$52</c:f>
              <c:numCache>
                <c:formatCode>_(* #,##0.00_);_(* \(#,##0.00\);_(* "-"??_);_(@_)</c:formatCode>
                <c:ptCount val="33"/>
                <c:pt idx="0">
                  <c:v>1</c:v>
                </c:pt>
                <c:pt idx="1">
                  <c:v>1.0269999999999999</c:v>
                </c:pt>
                <c:pt idx="2">
                  <c:v>1.0547289999999998</c:v>
                </c:pt>
                <c:pt idx="3">
                  <c:v>1.0832066829999998</c:v>
                </c:pt>
                <c:pt idx="4">
                  <c:v>1.1124532634409996</c:v>
                </c:pt>
                <c:pt idx="5">
                  <c:v>1.1424895015539065</c:v>
                </c:pt>
                <c:pt idx="6">
                  <c:v>1.1733367180958618</c:v>
                </c:pt>
                <c:pt idx="7">
                  <c:v>1.20501680948445</c:v>
                </c:pt>
                <c:pt idx="8">
                  <c:v>1.23755226334053</c:v>
                </c:pt>
                <c:pt idx="9">
                  <c:v>1.2709661744507241</c:v>
                </c:pt>
                <c:pt idx="10">
                  <c:v>1.3052822611608936</c:v>
                </c:pt>
                <c:pt idx="11">
                  <c:v>1.3405248822122375</c:v>
                </c:pt>
                <c:pt idx="12">
                  <c:v>1.3767190540319678</c:v>
                </c:pt>
                <c:pt idx="13">
                  <c:v>1.4138904684908309</c:v>
                </c:pt>
                <c:pt idx="14">
                  <c:v>1.4520655111400831</c:v>
                </c:pt>
                <c:pt idx="15">
                  <c:v>1.4912712799408654</c:v>
                </c:pt>
                <c:pt idx="16">
                  <c:v>1.5315356044992685</c:v>
                </c:pt>
                <c:pt idx="17">
                  <c:v>1.5728870658207486</c:v>
                </c:pt>
                <c:pt idx="18">
                  <c:v>1.6153550165979087</c:v>
                </c:pt>
                <c:pt idx="19">
                  <c:v>1.658969602046052</c:v>
                </c:pt>
                <c:pt idx="20">
                  <c:v>1.7037617813012953</c:v>
                </c:pt>
                <c:pt idx="21">
                  <c:v>1.7497633493964302</c:v>
                </c:pt>
                <c:pt idx="22">
                  <c:v>1.7970069598301335</c:v>
                </c:pt>
                <c:pt idx="23">
                  <c:v>1.8455261477455469</c:v>
                </c:pt>
                <c:pt idx="24">
                  <c:v>1.8953553537346763</c:v>
                </c:pt>
                <c:pt idx="25">
                  <c:v>1.9465299482855123</c:v>
                </c:pt>
                <c:pt idx="26">
                  <c:v>1.9990862568892209</c:v>
                </c:pt>
                <c:pt idx="27">
                  <c:v>2.0530615858252297</c:v>
                </c:pt>
                <c:pt idx="28">
                  <c:v>2.1084942486425109</c:v>
                </c:pt>
                <c:pt idx="29">
                  <c:v>2.1654235933558588</c:v>
                </c:pt>
                <c:pt idx="30">
                  <c:v>2.2238900303764666</c:v>
                </c:pt>
                <c:pt idx="31">
                  <c:v>2.2839350611966309</c:v>
                </c:pt>
                <c:pt idx="32">
                  <c:v>2.3456013078489399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C5-4BD9-AA6F-A94543798E0D}"/>
            </c:ext>
          </c:extLst>
        </c:ser>
        <c:ser>
          <c:idx val="2"/>
          <c:order val="1"/>
          <c:tx>
            <c:strRef>
              <c:f>'Scenario Vierge'!$AG$18</c:f>
              <c:strCache>
                <c:ptCount val="1"/>
                <c:pt idx="0">
                  <c:v>Nombre de personnes par vol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'Scenario Vierge'!$AE$20:$AE$52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Vierge'!$AG$20:$AG$52</c:f>
              <c:numCache>
                <c:formatCode>_(* #,##0.00_);_(* \(#,##0.00\);_(* "-"??_);_(@_)</c:formatCode>
                <c:ptCount val="33"/>
                <c:pt idx="0">
                  <c:v>1</c:v>
                </c:pt>
                <c:pt idx="1">
                  <c:v>1.02</c:v>
                </c:pt>
                <c:pt idx="2">
                  <c:v>1.0404</c:v>
                </c:pt>
                <c:pt idx="3">
                  <c:v>1.0612079999999999</c:v>
                </c:pt>
                <c:pt idx="4">
                  <c:v>1.08243216</c:v>
                </c:pt>
                <c:pt idx="5">
                  <c:v>1.1040808032</c:v>
                </c:pt>
                <c:pt idx="6">
                  <c:v>1.1261624192640001</c:v>
                </c:pt>
                <c:pt idx="7">
                  <c:v>1.14868566764928</c:v>
                </c:pt>
                <c:pt idx="8">
                  <c:v>1.1716593810022655</c:v>
                </c:pt>
                <c:pt idx="9">
                  <c:v>1.1950925686223111</c:v>
                </c:pt>
                <c:pt idx="10">
                  <c:v>1.2189944199947573</c:v>
                </c:pt>
                <c:pt idx="11">
                  <c:v>1.2433743083946525</c:v>
                </c:pt>
                <c:pt idx="12">
                  <c:v>1.2682417945625455</c:v>
                </c:pt>
                <c:pt idx="13">
                  <c:v>1.2936066304537963</c:v>
                </c:pt>
                <c:pt idx="14">
                  <c:v>1.3194787630628724</c:v>
                </c:pt>
                <c:pt idx="15">
                  <c:v>1.3458683383241299</c:v>
                </c:pt>
                <c:pt idx="16">
                  <c:v>1.3727857050906127</c:v>
                </c:pt>
                <c:pt idx="17">
                  <c:v>1.4002414191924251</c:v>
                </c:pt>
                <c:pt idx="18">
                  <c:v>1.4282462475762736</c:v>
                </c:pt>
                <c:pt idx="19">
                  <c:v>1.4568111725277992</c:v>
                </c:pt>
                <c:pt idx="20">
                  <c:v>1.4859473959783553</c:v>
                </c:pt>
                <c:pt idx="21">
                  <c:v>1.5156663438979223</c:v>
                </c:pt>
                <c:pt idx="22">
                  <c:v>1.5459796707758808</c:v>
                </c:pt>
                <c:pt idx="23">
                  <c:v>1.5768992641913986</c:v>
                </c:pt>
                <c:pt idx="24">
                  <c:v>1.6084372494752266</c:v>
                </c:pt>
                <c:pt idx="25">
                  <c:v>1.6406059944647311</c:v>
                </c:pt>
                <c:pt idx="26">
                  <c:v>1.6734181143540259</c:v>
                </c:pt>
                <c:pt idx="27">
                  <c:v>1.7068864766411065</c:v>
                </c:pt>
                <c:pt idx="28">
                  <c:v>1.7410242061739285</c:v>
                </c:pt>
                <c:pt idx="29">
                  <c:v>1.775844690297407</c:v>
                </c:pt>
                <c:pt idx="30">
                  <c:v>1.811361584103355</c:v>
                </c:pt>
                <c:pt idx="31">
                  <c:v>1.8475888157854221</c:v>
                </c:pt>
                <c:pt idx="32">
                  <c:v>1.8845405921011307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C5-4BD9-AA6F-A94543798E0D}"/>
            </c:ext>
          </c:extLst>
        </c:ser>
        <c:ser>
          <c:idx val="3"/>
          <c:order val="2"/>
          <c:tx>
            <c:strRef>
              <c:f>'Scenario Vierge'!$AH$18</c:f>
              <c:strCache>
                <c:ptCount val="1"/>
                <c:pt idx="0">
                  <c:v>Nombre de mouvements totaux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'Scenario Vierge'!$AE$20:$AE$52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Vierge'!$AH$20:$AH$52</c:f>
              <c:numCache>
                <c:formatCode>_(* #,##0.00_);_(* \(#,##0.00\);_(* "-"??_);_(@_)</c:formatCode>
                <c:ptCount val="33"/>
                <c:pt idx="0">
                  <c:v>1</c:v>
                </c:pt>
                <c:pt idx="1">
                  <c:v>1.0068627450980392</c:v>
                </c:pt>
                <c:pt idx="2">
                  <c:v>1.013772587466359</c:v>
                </c:pt>
                <c:pt idx="3">
                  <c:v>1.0207298503215203</c:v>
                </c:pt>
                <c:pt idx="4">
                  <c:v>1.0277348590982363</c:v>
                </c:pt>
                <c:pt idx="5">
                  <c:v>1.0347879414645966</c:v>
                </c:pt>
                <c:pt idx="6">
                  <c:v>1.0418894273373926</c:v>
                </c:pt>
                <c:pt idx="7">
                  <c:v>1.0490396488975511</c:v>
                </c:pt>
                <c:pt idx="8">
                  <c:v>1.0562389406056716</c:v>
                </c:pt>
                <c:pt idx="9">
                  <c:v>1.0634876392176711</c:v>
                </c:pt>
                <c:pt idx="10">
                  <c:v>1.0707860838005372</c:v>
                </c:pt>
                <c:pt idx="11">
                  <c:v>1.0781346157481879</c:v>
                </c:pt>
                <c:pt idx="12">
                  <c:v>1.0855335787974401</c:v>
                </c:pt>
                <c:pt idx="13">
                  <c:v>1.092983319044089</c:v>
                </c:pt>
                <c:pt idx="14">
                  <c:v>1.1004841849590974</c:v>
                </c:pt>
                <c:pt idx="15">
                  <c:v>1.1080365274048949</c:v>
                </c:pt>
                <c:pt idx="16">
                  <c:v>1.1156406996517911</c:v>
                </c:pt>
                <c:pt idx="17">
                  <c:v>1.1232970573944991</c:v>
                </c:pt>
                <c:pt idx="18">
                  <c:v>1.1310059587687751</c:v>
                </c:pt>
                <c:pt idx="19">
                  <c:v>1.1387677643681686</c:v>
                </c:pt>
                <c:pt idx="20">
                  <c:v>1.1465828372608911</c:v>
                </c:pt>
                <c:pt idx="21">
                  <c:v>1.154451543006799</c:v>
                </c:pt>
                <c:pt idx="22">
                  <c:v>1.1623742496744927</c:v>
                </c:pt>
                <c:pt idx="23">
                  <c:v>1.1703513278585329</c:v>
                </c:pt>
                <c:pt idx="24">
                  <c:v>1.1783831506967775</c:v>
                </c:pt>
                <c:pt idx="25">
                  <c:v>1.1864700938878339</c:v>
                </c:pt>
                <c:pt idx="26">
                  <c:v>1.1946125357086324</c:v>
                </c:pt>
                <c:pt idx="27">
                  <c:v>1.2028108570321228</c:v>
                </c:pt>
                <c:pt idx="28">
                  <c:v>1.2110654413450883</c:v>
                </c:pt>
                <c:pt idx="29">
                  <c:v>1.2193766747660839</c:v>
                </c:pt>
                <c:pt idx="30">
                  <c:v>1.2277449460634984</c:v>
                </c:pt>
                <c:pt idx="31">
                  <c:v>1.2361706466737379</c:v>
                </c:pt>
                <c:pt idx="32">
                  <c:v>1.2446541707195378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C5-4BD9-AA6F-A94543798E0D}"/>
            </c:ext>
          </c:extLst>
        </c:ser>
        <c:ser>
          <c:idx val="4"/>
          <c:order val="3"/>
          <c:tx>
            <c:strRef>
              <c:f>'Scenario Vierge'!$AI$18</c:f>
              <c:strCache>
                <c:ptCount val="1"/>
                <c:pt idx="0">
                  <c:v>Distance moyenne par vol en km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'Scenario Vierge'!$AE$20:$AE$52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Vierge'!$AI$20:$AI$52</c:f>
              <c:numCache>
                <c:formatCode>_(* #,##0.00_);_(* \(#,##0.00\);_(* "-"??_);_(@_)</c:formatCode>
                <c:ptCount val="33"/>
                <c:pt idx="0">
                  <c:v>1</c:v>
                </c:pt>
                <c:pt idx="1">
                  <c:v>1.0169999999999999</c:v>
                </c:pt>
                <c:pt idx="2">
                  <c:v>1.0342889999999998</c:v>
                </c:pt>
                <c:pt idx="3">
                  <c:v>1.0518719129999998</c:v>
                </c:pt>
                <c:pt idx="4">
                  <c:v>1.0697537355209996</c:v>
                </c:pt>
                <c:pt idx="5">
                  <c:v>1.0879395490248565</c:v>
                </c:pt>
                <c:pt idx="6">
                  <c:v>1.1064345213582789</c:v>
                </c:pt>
                <c:pt idx="7">
                  <c:v>1.1252439082213697</c:v>
                </c:pt>
                <c:pt idx="8">
                  <c:v>1.1443730546611328</c:v>
                </c:pt>
                <c:pt idx="9">
                  <c:v>1.163827396590372</c:v>
                </c:pt>
                <c:pt idx="10">
                  <c:v>1.1836124623324082</c:v>
                </c:pt>
                <c:pt idx="11">
                  <c:v>1.2037338741920589</c:v>
                </c:pt>
                <c:pt idx="12">
                  <c:v>1.2241973500533239</c:v>
                </c:pt>
                <c:pt idx="13">
                  <c:v>1.2450087050042302</c:v>
                </c:pt>
                <c:pt idx="14">
                  <c:v>1.2661738529893021</c:v>
                </c:pt>
                <c:pt idx="15">
                  <c:v>1.28769880849012</c:v>
                </c:pt>
                <c:pt idx="16">
                  <c:v>1.309589688234452</c:v>
                </c:pt>
                <c:pt idx="17">
                  <c:v>1.3318527129344375</c:v>
                </c:pt>
                <c:pt idx="18">
                  <c:v>1.3544942090543228</c:v>
                </c:pt>
                <c:pt idx="19">
                  <c:v>1.3775206106082463</c:v>
                </c:pt>
                <c:pt idx="20">
                  <c:v>1.4009384609885862</c:v>
                </c:pt>
                <c:pt idx="21">
                  <c:v>1.4247544148253919</c:v>
                </c:pt>
                <c:pt idx="22">
                  <c:v>1.4489752398774234</c:v>
                </c:pt>
                <c:pt idx="23">
                  <c:v>1.4736078189553397</c:v>
                </c:pt>
                <c:pt idx="24">
                  <c:v>1.4986591518775803</c:v>
                </c:pt>
                <c:pt idx="25">
                  <c:v>1.524136357459499</c:v>
                </c:pt>
                <c:pt idx="26">
                  <c:v>1.5500466755363105</c:v>
                </c:pt>
                <c:pt idx="27">
                  <c:v>1.5763974690204277</c:v>
                </c:pt>
                <c:pt idx="28">
                  <c:v>1.6031962259937749</c:v>
                </c:pt>
                <c:pt idx="29">
                  <c:v>1.6304505618356688</c:v>
                </c:pt>
                <c:pt idx="30">
                  <c:v>1.6581682213868751</c:v>
                </c:pt>
                <c:pt idx="31">
                  <c:v>1.6863570811504518</c:v>
                </c:pt>
                <c:pt idx="32">
                  <c:v>1.7150251515300097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C5-4BD9-AA6F-A94543798E0D}"/>
            </c:ext>
          </c:extLst>
        </c:ser>
        <c:ser>
          <c:idx val="5"/>
          <c:order val="4"/>
          <c:tx>
            <c:strRef>
              <c:f>'Scenario Vierge'!$AJ$18</c:f>
              <c:strCache>
                <c:ptCount val="1"/>
                <c:pt idx="0">
                  <c:v>Consommation moyenne par mouvement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'Scenario Vierge'!$AE$20:$AE$52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Vierge'!$AJ$20:$AJ$52</c:f>
              <c:numCache>
                <c:formatCode>_(* #,##0.00_);_(* \(#,##0.00\);_(* "-"??_);_(@_)</c:formatCode>
                <c:ptCount val="33"/>
                <c:pt idx="0">
                  <c:v>1</c:v>
                </c:pt>
                <c:pt idx="1">
                  <c:v>1.01</c:v>
                </c:pt>
                <c:pt idx="2">
                  <c:v>1.0201</c:v>
                </c:pt>
                <c:pt idx="3">
                  <c:v>1.0303010000000001</c:v>
                </c:pt>
                <c:pt idx="4">
                  <c:v>1.0406040100000002</c:v>
                </c:pt>
                <c:pt idx="5">
                  <c:v>1.0510100501000001</c:v>
                </c:pt>
                <c:pt idx="6">
                  <c:v>1.0615201506010001</c:v>
                </c:pt>
                <c:pt idx="7">
                  <c:v>1.0721353521070103</c:v>
                </c:pt>
                <c:pt idx="8">
                  <c:v>1.0828567056280805</c:v>
                </c:pt>
                <c:pt idx="9">
                  <c:v>1.1001824129181297</c:v>
                </c:pt>
                <c:pt idx="10">
                  <c:v>1.1177853315248198</c:v>
                </c:pt>
                <c:pt idx="11">
                  <c:v>1.1356698968292169</c:v>
                </c:pt>
                <c:pt idx="12">
                  <c:v>1.1538406151784844</c:v>
                </c:pt>
                <c:pt idx="13">
                  <c:v>1.1653790213302693</c:v>
                </c:pt>
                <c:pt idx="14">
                  <c:v>1.177032811543572</c:v>
                </c:pt>
                <c:pt idx="15">
                  <c:v>1.1888031396590075</c:v>
                </c:pt>
                <c:pt idx="16">
                  <c:v>1.2006911710555976</c:v>
                </c:pt>
                <c:pt idx="17">
                  <c:v>1.2126980827661538</c:v>
                </c:pt>
                <c:pt idx="18">
                  <c:v>1.2248250635938152</c:v>
                </c:pt>
                <c:pt idx="19">
                  <c:v>1.2444222646113163</c:v>
                </c:pt>
                <c:pt idx="20">
                  <c:v>1.2643330208450974</c:v>
                </c:pt>
                <c:pt idx="21">
                  <c:v>1.2845623491786191</c:v>
                </c:pt>
                <c:pt idx="22">
                  <c:v>1.2935542856228694</c:v>
                </c:pt>
                <c:pt idx="23">
                  <c:v>1.3026091656222298</c:v>
                </c:pt>
                <c:pt idx="24">
                  <c:v>1.3117274297815855</c:v>
                </c:pt>
                <c:pt idx="25">
                  <c:v>1.3209095217900568</c:v>
                </c:pt>
                <c:pt idx="26">
                  <c:v>1.3301558884425875</c:v>
                </c:pt>
                <c:pt idx="27">
                  <c:v>1.3394669796616856</c:v>
                </c:pt>
                <c:pt idx="28">
                  <c:v>1.3488432485193176</c:v>
                </c:pt>
                <c:pt idx="29">
                  <c:v>1.3582851512589531</c:v>
                </c:pt>
                <c:pt idx="30">
                  <c:v>1.3677931473177658</c:v>
                </c:pt>
                <c:pt idx="31">
                  <c:v>1.3773676993489903</c:v>
                </c:pt>
                <c:pt idx="32">
                  <c:v>1.3870092732444332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C5-4BD9-AA6F-A94543798E0D}"/>
            </c:ext>
          </c:extLst>
        </c:ser>
        <c:ser>
          <c:idx val="0"/>
          <c:order val="5"/>
          <c:tx>
            <c:strRef>
              <c:f>'Scenario Vierge'!$AK$18</c:f>
              <c:strCache>
                <c:ptCount val="1"/>
                <c:pt idx="0">
                  <c:v>Emissions de GES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'Scenario Vierge'!$AK$20:$AK$52</c:f>
              <c:numCache>
                <c:formatCode>_(* #,##0.00_);_(* \(#,##0.00\);_(* "-"??_);_(@_)</c:formatCode>
                <c:ptCount val="33"/>
                <c:pt idx="0">
                  <c:v>1</c:v>
                </c:pt>
                <c:pt idx="1">
                  <c:v>1.0160152181593356</c:v>
                </c:pt>
                <c:pt idx="2">
                  <c:v>1.0322879475247786</c:v>
                </c:pt>
                <c:pt idx="3">
                  <c:v>1.0488223447870395</c:v>
                </c:pt>
                <c:pt idx="4">
                  <c:v>1.0656226339862338</c:v>
                </c:pt>
                <c:pt idx="5">
                  <c:v>1.0826931076070776</c:v>
                </c:pt>
                <c:pt idx="6">
                  <c:v>1.1000381276919466</c:v>
                </c:pt>
                <c:pt idx="7">
                  <c:v>1.1176621269721054</c:v>
                </c:pt>
                <c:pt idx="8">
                  <c:v>1.1355696100173953</c:v>
                </c:pt>
                <c:pt idx="9">
                  <c:v>1.1606192048268857</c:v>
                </c:pt>
                <c:pt idx="10">
                  <c:v>1.1862225448091279</c:v>
                </c:pt>
                <c:pt idx="11">
                  <c:v>1.2123918966302094</c:v>
                </c:pt>
                <c:pt idx="12">
                  <c:v>1.2391397992464339</c:v>
                </c:pt>
                <c:pt idx="13">
                  <c:v>1.2589998628545218</c:v>
                </c:pt>
                <c:pt idx="14">
                  <c:v>1.2791794953059055</c:v>
                </c:pt>
                <c:pt idx="15">
                  <c:v>1.2996838587108273</c:v>
                </c:pt>
                <c:pt idx="16">
                  <c:v>1.3205181988771897</c:v>
                </c:pt>
                <c:pt idx="17">
                  <c:v>1.3416878466724917</c:v>
                </c:pt>
                <c:pt idx="18">
                  <c:v>1.3631982194080041</c:v>
                </c:pt>
                <c:pt idx="19">
                  <c:v>1.3932828706945266</c:v>
                </c:pt>
                <c:pt idx="20">
                  <c:v>1.4240328722744777</c:v>
                </c:pt>
                <c:pt idx="21">
                  <c:v>1.4554629696440748</c:v>
                </c:pt>
                <c:pt idx="22">
                  <c:v>1.4744107809112437</c:v>
                </c:pt>
                <c:pt idx="23">
                  <c:v>1.4936067372623529</c:v>
                </c:pt>
                <c:pt idx="24">
                  <c:v>1.513054107190497</c:v>
                </c:pt>
                <c:pt idx="25">
                  <c:v>1.5327562024767394</c:v>
                </c:pt>
                <c:pt idx="26">
                  <c:v>1.5527163787663869</c:v>
                </c:pt>
                <c:pt idx="27">
                  <c:v>1.5729380361529741</c:v>
                </c:pt>
                <c:pt idx="28">
                  <c:v>1.5934246197700535</c:v>
                </c:pt>
                <c:pt idx="29">
                  <c:v>1.6141796203909069</c:v>
                </c:pt>
                <c:pt idx="30">
                  <c:v>1.6352065750362812</c:v>
                </c:pt>
                <c:pt idx="31">
                  <c:v>1.6565090675902521</c:v>
                </c:pt>
                <c:pt idx="32">
                  <c:v>1.678090729424335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C5-4BD9-AA6F-A94543798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8632927"/>
        <c:axId val="1562092639"/>
      </c:lineChart>
      <c:catAx>
        <c:axId val="1708632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2092639"/>
        <c:crosses val="autoZero"/>
        <c:auto val="1"/>
        <c:lblAlgn val="ctr"/>
        <c:lblOffset val="100"/>
        <c:noMultiLvlLbl val="0"/>
      </c:catAx>
      <c:valAx>
        <c:axId val="1562092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8632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315520294037306"/>
          <c:y val="0.20900741778599866"/>
          <c:w val="0.25425873875886396"/>
          <c:h val="0.6277643899458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des émissions de GES du secteur aérien en France en Mt CO2e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5802257644803823E-2"/>
          <c:y val="0.12962864096639651"/>
          <c:w val="0.65512959221510103"/>
          <c:h val="0.76393807233663602"/>
        </c:manualLayout>
      </c:layout>
      <c:areaChart>
        <c:grouping val="stacked"/>
        <c:varyColors val="0"/>
        <c:ser>
          <c:idx val="0"/>
          <c:order val="0"/>
          <c:tx>
            <c:strRef>
              <c:f>'Scenario Vierge'!$AL$18</c:f>
              <c:strCache>
                <c:ptCount val="1"/>
                <c:pt idx="0">
                  <c:v>Emissions directes de CO2 nettes en MT CO2e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'Scenario Vierge'!$B$20:$B$52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Vierge'!$AL$20:$AL$52</c:f>
              <c:numCache>
                <c:formatCode>_(* #,##0.00_);_(* \(#,##0.00\);_(* "-"??_);_(@_)</c:formatCode>
                <c:ptCount val="33"/>
                <c:pt idx="0">
                  <c:v>22.696571834456776</c:v>
                </c:pt>
                <c:pt idx="1">
                  <c:v>23.034694235876003</c:v>
                </c:pt>
                <c:pt idx="2">
                  <c:v>23.377853819085296</c:v>
                </c:pt>
                <c:pt idx="3">
                  <c:v>23.726125625549763</c:v>
                </c:pt>
                <c:pt idx="4">
                  <c:v>24.07958581466546</c:v>
                </c:pt>
                <c:pt idx="5">
                  <c:v>24.438311680413811</c:v>
                </c:pt>
                <c:pt idx="6">
                  <c:v>24.802381668264061</c:v>
                </c:pt>
                <c:pt idx="7">
                  <c:v>25.171875392327621</c:v>
                </c:pt>
                <c:pt idx="8">
                  <c:v>25.546873652767925</c:v>
                </c:pt>
                <c:pt idx="9">
                  <c:v>26.081482959133748</c:v>
                </c:pt>
                <c:pt idx="10">
                  <c:v>26.627279822706679</c:v>
                </c:pt>
                <c:pt idx="11">
                  <c:v>27.184498361065234</c:v>
                </c:pt>
                <c:pt idx="12">
                  <c:v>27.753377591073775</c:v>
                </c:pt>
                <c:pt idx="13">
                  <c:v>28.16683380582873</c:v>
                </c:pt>
                <c:pt idx="14">
                  <c:v>28.586449488596497</c:v>
                </c:pt>
                <c:pt idx="15">
                  <c:v>29.012316400112166</c:v>
                </c:pt>
                <c:pt idx="16">
                  <c:v>29.44452766811731</c:v>
                </c:pt>
                <c:pt idx="17">
                  <c:v>29.883177807724923</c:v>
                </c:pt>
                <c:pt idx="18">
                  <c:v>30.328362742087833</c:v>
                </c:pt>
                <c:pt idx="19">
                  <c:v>30.963032376781165</c:v>
                </c:pt>
                <c:pt idx="20">
                  <c:v>31.610983491540757</c:v>
                </c:pt>
                <c:pt idx="21">
                  <c:v>32.272494022639485</c:v>
                </c:pt>
                <c:pt idx="22">
                  <c:v>32.655986866801911</c:v>
                </c:pt>
                <c:pt idx="23">
                  <c:v>33.04403674214452</c:v>
                </c:pt>
                <c:pt idx="24">
                  <c:v>33.436697799699068</c:v>
                </c:pt>
                <c:pt idx="25">
                  <c:v>33.834024833972009</c:v>
                </c:pt>
                <c:pt idx="26">
                  <c:v>34.236073290590816</c:v>
                </c:pt>
                <c:pt idx="27">
                  <c:v>34.642899274041341</c:v>
                </c:pt>
                <c:pt idx="28">
                  <c:v>35.054559555496972</c:v>
                </c:pt>
                <c:pt idx="29">
                  <c:v>35.471111580740768</c:v>
                </c:pt>
                <c:pt idx="30">
                  <c:v>35.892613478181929</c:v>
                </c:pt>
                <c:pt idx="31">
                  <c:v>36.319124066967362</c:v>
                </c:pt>
                <c:pt idx="32">
                  <c:v>36.75070286518973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E-4AEF-B05B-0F0EE99A8893}"/>
            </c:ext>
          </c:extLst>
        </c:ser>
        <c:ser>
          <c:idx val="1"/>
          <c:order val="1"/>
          <c:tx>
            <c:strRef>
              <c:f>'Scenario Vierge'!$AM$18</c:f>
              <c:strCache>
                <c:ptCount val="1"/>
                <c:pt idx="0">
                  <c:v>Emissions amont et autres gaz en MT CO2e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'Scenario Vierge'!$B$20:$B$52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Vierge'!$AM$20:$AM$52</c:f>
              <c:numCache>
                <c:formatCode>_(* #,##0.00_);_(* \(#,##0.00\);_(* "-"??_);_(@_)</c:formatCode>
                <c:ptCount val="33"/>
                <c:pt idx="0">
                  <c:v>4.9932458035804892</c:v>
                </c:pt>
                <c:pt idx="1">
                  <c:v>5.0777883085097404</c:v>
                </c:pt>
                <c:pt idx="2">
                  <c:v>5.1637622340861746</c:v>
                </c:pt>
                <c:pt idx="3">
                  <c:v>5.2511918162260445</c:v>
                </c:pt>
                <c:pt idx="4">
                  <c:v>5.3401017011929293</c:v>
                </c:pt>
                <c:pt idx="5">
                  <c:v>5.4305169525454806</c:v>
                </c:pt>
                <c:pt idx="6">
                  <c:v>5.5224630582027938</c:v>
                </c:pt>
                <c:pt idx="7">
                  <c:v>5.6159659376294222</c:v>
                </c:pt>
                <c:pt idx="8">
                  <c:v>5.7110519491420311</c:v>
                </c:pt>
                <c:pt idx="9">
                  <c:v>5.8422493699972229</c:v>
                </c:pt>
                <c:pt idx="10">
                  <c:v>5.9764607300342556</c:v>
                </c:pt>
                <c:pt idx="11">
                  <c:v>6.1137552671187274</c:v>
                </c:pt>
                <c:pt idx="12">
                  <c:v>6.2542038096864987</c:v>
                </c:pt>
                <c:pt idx="13">
                  <c:v>6.3600960643857967</c:v>
                </c:pt>
                <c:pt idx="14">
                  <c:v>6.4677812202994662</c:v>
                </c:pt>
                <c:pt idx="15">
                  <c:v>6.5772896337059086</c:v>
                </c:pt>
                <c:pt idx="16">
                  <c:v>6.6886521748569869</c:v>
                </c:pt>
                <c:pt idx="17">
                  <c:v>6.8019002366802992</c:v>
                </c:pt>
                <c:pt idx="18">
                  <c:v>6.9170657436287968</c:v>
                </c:pt>
                <c:pt idx="19">
                  <c:v>7.07596837549616</c:v>
                </c:pt>
                <c:pt idx="20">
                  <c:v>7.2385214058634366</c:v>
                </c:pt>
                <c:pt idx="21">
                  <c:v>7.404808693689116</c:v>
                </c:pt>
                <c:pt idx="22">
                  <c:v>7.5078153903114258</c:v>
                </c:pt>
                <c:pt idx="23">
                  <c:v>7.612254990873315</c:v>
                </c:pt>
                <c:pt idx="24">
                  <c:v>7.7181474281924336</c:v>
                </c:pt>
                <c:pt idx="25">
                  <c:v>7.8255129123675555</c:v>
                </c:pt>
                <c:pt idx="26">
                  <c:v>7.9343719346357737</c:v>
                </c:pt>
                <c:pt idx="27">
                  <c:v>8.0447452712833663</c:v>
                </c:pt>
                <c:pt idx="28">
                  <c:v>8.1566539876110529</c:v>
                </c:pt>
                <c:pt idx="29">
                  <c:v>8.2701194419544013</c:v>
                </c:pt>
                <c:pt idx="30">
                  <c:v>8.3851632897601771</c:v>
                </c:pt>
                <c:pt idx="31">
                  <c:v>8.5018074877194003</c:v>
                </c:pt>
                <c:pt idx="32">
                  <c:v>8.6200742979578813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E-4AEF-B05B-0F0EE99A8893}"/>
            </c:ext>
          </c:extLst>
        </c:ser>
        <c:ser>
          <c:idx val="2"/>
          <c:order val="2"/>
          <c:tx>
            <c:strRef>
              <c:f>'Scenario Vierge'!$AN$18</c:f>
              <c:strCache>
                <c:ptCount val="1"/>
                <c:pt idx="0">
                  <c:v>Emissions liées aux trainées de condensation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'Scenario Vierge'!$B$20:$B$52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Vierge'!$AN$20:$AN$52</c:f>
              <c:numCache>
                <c:formatCode>_(* #,##0.00_);_(* \(#,##0.00\);_(* "-"??_);_(@_)</c:formatCode>
                <c:ptCount val="33"/>
                <c:pt idx="0">
                  <c:v>22.696571834456769</c:v>
                </c:pt>
                <c:pt idx="1">
                  <c:v>23.080855947771546</c:v>
                </c:pt>
                <c:pt idx="2">
                  <c:v>23.471646518573518</c:v>
                </c:pt>
                <c:pt idx="3">
                  <c:v>23.869053710118386</c:v>
                </c:pt>
                <c:pt idx="4">
                  <c:v>24.273189550876953</c:v>
                </c:pt>
                <c:pt idx="5">
                  <c:v>24.684167966115822</c:v>
                </c:pt>
                <c:pt idx="6">
                  <c:v>25.102104810012698</c:v>
                </c:pt>
                <c:pt idx="7">
                  <c:v>25.527117898315552</c:v>
                </c:pt>
                <c:pt idx="8">
                  <c:v>25.95932704155469</c:v>
                </c:pt>
                <c:pt idx="9">
                  <c:v>26.555678954532826</c:v>
                </c:pt>
                <c:pt idx="10">
                  <c:v>27.165730591064797</c:v>
                </c:pt>
                <c:pt idx="11">
                  <c:v>27.78979666872149</c:v>
                </c:pt>
                <c:pt idx="12">
                  <c:v>28.428199134938627</c:v>
                </c:pt>
                <c:pt idx="13">
                  <c:v>28.909527565389986</c:v>
                </c:pt>
                <c:pt idx="14">
                  <c:v>29.399005546815758</c:v>
                </c:pt>
                <c:pt idx="15">
                  <c:v>29.896771062299582</c:v>
                </c:pt>
                <c:pt idx="16">
                  <c:v>30.402964431168122</c:v>
                </c:pt>
                <c:pt idx="17">
                  <c:v>30.917728348546813</c:v>
                </c:pt>
                <c:pt idx="18">
                  <c:v>31.441207925585442</c:v>
                </c:pt>
                <c:pt idx="19">
                  <c:v>32.163492615891641</c:v>
                </c:pt>
                <c:pt idx="20">
                  <c:v>32.902370026651987</c:v>
                </c:pt>
                <c:pt idx="21">
                  <c:v>33.658221334950532</c:v>
                </c:pt>
                <c:pt idx="22">
                  <c:v>34.126433592324659</c:v>
                </c:pt>
                <c:pt idx="23">
                  <c:v>34.601159049424155</c:v>
                </c:pt>
                <c:pt idx="24">
                  <c:v>35.082488309965612</c:v>
                </c:pt>
                <c:pt idx="25">
                  <c:v>35.570513238034337</c:v>
                </c:pt>
                <c:pt idx="26">
                  <c:v>36.065326975617147</c:v>
                </c:pt>
                <c:pt idx="27">
                  <c:v>36.56702396037894</c:v>
                </c:pt>
                <c:pt idx="28">
                  <c:v>37.075699943686601</c:v>
                </c:pt>
                <c:pt idx="29">
                  <c:v>37.591452008883643</c:v>
                </c:pt>
                <c:pt idx="30">
                  <c:v>38.11437858981899</c:v>
                </c:pt>
                <c:pt idx="31">
                  <c:v>38.644579489633635</c:v>
                </c:pt>
                <c:pt idx="32">
                  <c:v>39.182155899808549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3E-4AEF-B05B-0F0EE99A8893}"/>
            </c:ext>
          </c:extLst>
        </c:ser>
        <c:ser>
          <c:idx val="3"/>
          <c:order val="3"/>
          <c:tx>
            <c:strRef>
              <c:f>'Scenario Vierge'!$AO$18</c:f>
              <c:strCache>
                <c:ptCount val="1"/>
                <c:pt idx="0">
                  <c:v>Emissions compensées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'Scenario Vierge'!$B$20:$B$52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Vierge'!$AO$20:$AO$52</c:f>
              <c:numCache>
                <c:formatCode>_(* #,##0.00_);_(* \(#,##0.00\);_(*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3E-4AEF-B05B-0F0EE99A8893}"/>
            </c:ext>
          </c:extLst>
        </c:ser>
        <c:ser>
          <c:idx val="4"/>
          <c:order val="4"/>
          <c:tx>
            <c:strRef>
              <c:f>'Scenario Vierge'!$AP$18</c:f>
              <c:strCache>
                <c:ptCount val="1"/>
                <c:pt idx="0">
                  <c:v>Emissions non comptabilisées (seconde partie des vols)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'Scenario Vierge'!$B$20:$B$52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Vierge'!$AP$20:$AP$52</c:f>
              <c:numCache>
                <c:formatCode>_(* #,##0.00_);_(* \(#,##0.00\);_(* "-"??_);_(@_)</c:formatCode>
                <c:ptCount val="33"/>
                <c:pt idx="0">
                  <c:v>39.26910780952381</c:v>
                </c:pt>
                <c:pt idx="1">
                  <c:v>39.898011138015804</c:v>
                </c:pt>
                <c:pt idx="2">
                  <c:v>40.53702670182259</c:v>
                </c:pt>
                <c:pt idx="3">
                  <c:v>41.186317730479807</c:v>
                </c:pt>
                <c:pt idx="4">
                  <c:v>41.846050098274155</c:v>
                </c:pt>
                <c:pt idx="5">
                  <c:v>42.516392367250695</c:v>
                </c:pt>
                <c:pt idx="6">
                  <c:v>43.197515830921773</c:v>
                </c:pt>
                <c:pt idx="7">
                  <c:v>43.889594558689303</c:v>
                </c:pt>
                <c:pt idx="8">
                  <c:v>44.592805440992009</c:v>
                </c:pt>
                <c:pt idx="9">
                  <c:v>45.576480680150787</c:v>
                </c:pt>
                <c:pt idx="10">
                  <c:v>46.581900998197341</c:v>
                </c:pt>
                <c:pt idx="11">
                  <c:v>47.609548096164744</c:v>
                </c:pt>
                <c:pt idx="12">
                  <c:v>48.659914367679917</c:v>
                </c:pt>
                <c:pt idx="13">
                  <c:v>49.439801346609919</c:v>
                </c:pt>
                <c:pt idx="14">
                  <c:v>50.232237508899857</c:v>
                </c:pt>
                <c:pt idx="15">
                  <c:v>51.037425566013397</c:v>
                </c:pt>
                <c:pt idx="16">
                  <c:v>51.855571516146568</c:v>
                </c:pt>
                <c:pt idx="17">
                  <c:v>52.686884697709942</c:v>
                </c:pt>
                <c:pt idx="18">
                  <c:v>53.53157784368382</c:v>
                </c:pt>
                <c:pt idx="19">
                  <c:v>54.712975258466187</c:v>
                </c:pt>
                <c:pt idx="20">
                  <c:v>55.920500385652318</c:v>
                </c:pt>
                <c:pt idx="21">
                  <c:v>57.154732267722864</c:v>
                </c:pt>
                <c:pt idx="22">
                  <c:v>57.89879591112782</c:v>
                </c:pt>
                <c:pt idx="23">
                  <c:v>58.652603990586442</c:v>
                </c:pt>
                <c:pt idx="24">
                  <c:v>59.416284856906429</c:v>
                </c:pt>
                <c:pt idx="25">
                  <c:v>60.189968560775384</c:v>
                </c:pt>
                <c:pt idx="26">
                  <c:v>60.973786875390658</c:v>
                </c:pt>
                <c:pt idx="27">
                  <c:v>61.767873319391796</c:v>
                </c:pt>
                <c:pt idx="28">
                  <c:v>62.572363180099714</c:v>
                </c:pt>
                <c:pt idx="29">
                  <c:v>63.387393537066757</c:v>
                </c:pt>
                <c:pt idx="30">
                  <c:v>64.213103285941912</c:v>
                </c:pt>
                <c:pt idx="31">
                  <c:v>65.049633162655383</c:v>
                </c:pt>
                <c:pt idx="32">
                  <c:v>65.897125767926667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3E-4AEF-B05B-0F0EE99A8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2775439"/>
        <c:axId val="1602831247"/>
      </c:areaChart>
      <c:catAx>
        <c:axId val="16027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2831247"/>
        <c:crosses val="autoZero"/>
        <c:auto val="1"/>
        <c:lblAlgn val="ctr"/>
        <c:lblOffset val="100"/>
        <c:noMultiLvlLbl val="0"/>
      </c:catAx>
      <c:valAx>
        <c:axId val="1602831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27754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2528449454552"/>
          <c:y val="0.3031258290246982"/>
          <c:w val="0.21867261358221424"/>
          <c:h val="0.484931977319535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'Scenario ViergeT4'!$D$17</c:f>
              <c:strCache>
                <c:ptCount val="1"/>
                <c:pt idx="0">
                  <c:v>Nombre de passagers en millions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'Scenario ViergeT4'!$B$19:$B$51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ViergeT4'!$D$19:$D$51</c:f>
              <c:numCache>
                <c:formatCode>_-* #\ ##0.0_-;\-* #\ ##0.0_-;_-* "-"??_-;_-@_-</c:formatCode>
                <c:ptCount val="33"/>
                <c:pt idx="0">
                  <c:v>72.3</c:v>
                </c:pt>
                <c:pt idx="1">
                  <c:v>73.962899999999991</c:v>
                </c:pt>
                <c:pt idx="2">
                  <c:v>75.664046699999986</c:v>
                </c:pt>
                <c:pt idx="3">
                  <c:v>77.404319774099974</c:v>
                </c:pt>
                <c:pt idx="4">
                  <c:v>79.184619128904274</c:v>
                </c:pt>
                <c:pt idx="5">
                  <c:v>81.005865368869067</c:v>
                </c:pt>
                <c:pt idx="6">
                  <c:v>82.869000272353048</c:v>
                </c:pt>
                <c:pt idx="7">
                  <c:v>84.774987278617161</c:v>
                </c:pt>
                <c:pt idx="8">
                  <c:v>86.724811986025344</c:v>
                </c:pt>
                <c:pt idx="9">
                  <c:v>88.719482661703921</c:v>
                </c:pt>
                <c:pt idx="10">
                  <c:v>90.760030762923108</c:v>
                </c:pt>
                <c:pt idx="11">
                  <c:v>92.847511470470337</c:v>
                </c:pt>
                <c:pt idx="12">
                  <c:v>94.983004234291144</c:v>
                </c:pt>
                <c:pt idx="13">
                  <c:v>97.167613331679831</c:v>
                </c:pt>
                <c:pt idx="14">
                  <c:v>99.40246843830846</c:v>
                </c:pt>
                <c:pt idx="15">
                  <c:v>101.68872521238954</c:v>
                </c:pt>
                <c:pt idx="16">
                  <c:v>104.0275658922745</c:v>
                </c:pt>
                <c:pt idx="17">
                  <c:v>106.4201999077968</c:v>
                </c:pt>
                <c:pt idx="18">
                  <c:v>108.86786450567611</c:v>
                </c:pt>
                <c:pt idx="19">
                  <c:v>111.37182538930665</c:v>
                </c:pt>
                <c:pt idx="20">
                  <c:v>113.9333773732607</c:v>
                </c:pt>
                <c:pt idx="21">
                  <c:v>116.55384505284569</c:v>
                </c:pt>
                <c:pt idx="22">
                  <c:v>119.23458348906112</c:v>
                </c:pt>
                <c:pt idx="23">
                  <c:v>121.97697890930952</c:v>
                </c:pt>
                <c:pt idx="24">
                  <c:v>124.78244942422363</c:v>
                </c:pt>
                <c:pt idx="25">
                  <c:v>127.65244576098075</c:v>
                </c:pt>
                <c:pt idx="26">
                  <c:v>130.58845201348331</c:v>
                </c:pt>
                <c:pt idx="27">
                  <c:v>133.59198640979341</c:v>
                </c:pt>
                <c:pt idx="28">
                  <c:v>136.66460209721865</c:v>
                </c:pt>
                <c:pt idx="29">
                  <c:v>139.80788794545467</c:v>
                </c:pt>
                <c:pt idx="30">
                  <c:v>143.02346936820013</c:v>
                </c:pt>
                <c:pt idx="31">
                  <c:v>146.31300916366871</c:v>
                </c:pt>
                <c:pt idx="32">
                  <c:v>149.67820837443307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CB-441C-AFCC-16368DD71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4154895"/>
        <c:axId val="1552427343"/>
      </c:lineChart>
      <c:catAx>
        <c:axId val="16041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2427343"/>
        <c:crosses val="autoZero"/>
        <c:auto val="1"/>
        <c:lblAlgn val="ctr"/>
        <c:lblOffset val="100"/>
        <c:tickMarkSkip val="1"/>
        <c:noMultiLvlLbl val="0"/>
      </c:catAx>
      <c:valAx>
        <c:axId val="155242734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41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'Scenario ViergeT4'!$G$16</c:f>
              <c:strCache>
                <c:ptCount val="1"/>
                <c:pt idx="0">
                  <c:v>Mouvements totaux en milliers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'Scenario ViergeT4'!$B$19:$B$51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ViergeT4'!$G$19:$G$51</c:f>
              <c:numCache>
                <c:formatCode>_-* #\ ##0_-;\-* #\ ##0_-;_-* "-"??_-;_-@_-</c:formatCode>
                <c:ptCount val="33"/>
                <c:pt idx="0">
                  <c:v>482</c:v>
                </c:pt>
                <c:pt idx="1">
                  <c:v>480.59064327485373</c:v>
                </c:pt>
                <c:pt idx="2">
                  <c:v>479.18540747580448</c:v>
                </c:pt>
                <c:pt idx="3">
                  <c:v>477.78428055336047</c:v>
                </c:pt>
                <c:pt idx="4">
                  <c:v>476.38725049326291</c:v>
                </c:pt>
                <c:pt idx="5">
                  <c:v>474.994305316382</c:v>
                </c:pt>
                <c:pt idx="6">
                  <c:v>473.60543307861474</c:v>
                </c:pt>
                <c:pt idx="7">
                  <c:v>472.22062187078245</c:v>
                </c:pt>
                <c:pt idx="8">
                  <c:v>470.83985981852868</c:v>
                </c:pt>
                <c:pt idx="9">
                  <c:v>469.46313508221715</c:v>
                </c:pt>
                <c:pt idx="10">
                  <c:v>468.09043585683054</c:v>
                </c:pt>
                <c:pt idx="11">
                  <c:v>466.72175037186895</c:v>
                </c:pt>
                <c:pt idx="12">
                  <c:v>465.35706689124947</c:v>
                </c:pt>
                <c:pt idx="13">
                  <c:v>463.99637371320478</c:v>
                </c:pt>
                <c:pt idx="14">
                  <c:v>462.63965917018368</c:v>
                </c:pt>
                <c:pt idx="15">
                  <c:v>461.28691162875037</c:v>
                </c:pt>
                <c:pt idx="16">
                  <c:v>459.93811948948496</c:v>
                </c:pt>
                <c:pt idx="17">
                  <c:v>458.59327118688407</c:v>
                </c:pt>
                <c:pt idx="18">
                  <c:v>457.25235518926155</c:v>
                </c:pt>
                <c:pt idx="19">
                  <c:v>455.91535999864965</c:v>
                </c:pt>
                <c:pt idx="20">
                  <c:v>457.56376455124774</c:v>
                </c:pt>
                <c:pt idx="21">
                  <c:v>468.08773113592645</c:v>
                </c:pt>
                <c:pt idx="22">
                  <c:v>478.85374895205268</c:v>
                </c:pt>
                <c:pt idx="23">
                  <c:v>489.86738517794987</c:v>
                </c:pt>
                <c:pt idx="24">
                  <c:v>501.13433503704266</c:v>
                </c:pt>
                <c:pt idx="25">
                  <c:v>512.66042474289463</c:v>
                </c:pt>
                <c:pt idx="26">
                  <c:v>524.45161451198123</c:v>
                </c:pt>
                <c:pt idx="27">
                  <c:v>536.51400164575671</c:v>
                </c:pt>
                <c:pt idx="28">
                  <c:v>548.85382368360899</c:v>
                </c:pt>
                <c:pt idx="29">
                  <c:v>561.47746162833198</c:v>
                </c:pt>
                <c:pt idx="30">
                  <c:v>574.39144324578365</c:v>
                </c:pt>
                <c:pt idx="31">
                  <c:v>587.60244644043655</c:v>
                </c:pt>
                <c:pt idx="32">
                  <c:v>601.11730270856651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46-4E72-8D23-CEC8F9AE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4154895"/>
        <c:axId val="1552427343"/>
      </c:lineChart>
      <c:catAx>
        <c:axId val="16041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2427343"/>
        <c:crosses val="autoZero"/>
        <c:auto val="1"/>
        <c:lblAlgn val="ctr"/>
        <c:lblOffset val="100"/>
        <c:tickMarkSkip val="1"/>
        <c:noMultiLvlLbl val="0"/>
      </c:catAx>
      <c:valAx>
        <c:axId val="155242734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41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'Scenario ViergeT4'!$M$17</c:f>
              <c:strCache>
                <c:ptCount val="1"/>
                <c:pt idx="0">
                  <c:v>Consommation moyenne par mouvement en L de Kérozène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'Scenario ViergeT4'!$B$19:$B$51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ViergeT4'!$M$19:$M$51</c:f>
              <c:numCache>
                <c:formatCode>_-* #\ ##0_-;\-* #\ ##0_-;_-* "-"??_-;_-@_-</c:formatCode>
                <c:ptCount val="33"/>
                <c:pt idx="0">
                  <c:v>21825.396825396827</c:v>
                </c:pt>
                <c:pt idx="1">
                  <c:v>22021.825396825399</c:v>
                </c:pt>
                <c:pt idx="2">
                  <c:v>22220.021825396831</c:v>
                </c:pt>
                <c:pt idx="3">
                  <c:v>22420.002021825403</c:v>
                </c:pt>
                <c:pt idx="4">
                  <c:v>22621.782040021833</c:v>
                </c:pt>
                <c:pt idx="5">
                  <c:v>22825.378078382033</c:v>
                </c:pt>
                <c:pt idx="6">
                  <c:v>23030.806481087475</c:v>
                </c:pt>
                <c:pt idx="7">
                  <c:v>23238.083739417263</c:v>
                </c:pt>
                <c:pt idx="8">
                  <c:v>23447.226493072023</c:v>
                </c:pt>
                <c:pt idx="9">
                  <c:v>23798.934890468106</c:v>
                </c:pt>
                <c:pt idx="10">
                  <c:v>24155.918913825131</c:v>
                </c:pt>
                <c:pt idx="11">
                  <c:v>24518.25769753251</c:v>
                </c:pt>
                <c:pt idx="12">
                  <c:v>24812.476789902907</c:v>
                </c:pt>
                <c:pt idx="13">
                  <c:v>24961.351650642329</c:v>
                </c:pt>
                <c:pt idx="14">
                  <c:v>25111.119760546189</c:v>
                </c:pt>
                <c:pt idx="15">
                  <c:v>25261.786479109473</c:v>
                </c:pt>
                <c:pt idx="16">
                  <c:v>25413.357197984136</c:v>
                </c:pt>
                <c:pt idx="17">
                  <c:v>25565.837341172046</c:v>
                </c:pt>
                <c:pt idx="18">
                  <c:v>25719.232365219083</c:v>
                </c:pt>
                <c:pt idx="19">
                  <c:v>26027.863153601716</c:v>
                </c:pt>
                <c:pt idx="20">
                  <c:v>26340.197511444941</c:v>
                </c:pt>
                <c:pt idx="21">
                  <c:v>26656.279881582286</c:v>
                </c:pt>
                <c:pt idx="22">
                  <c:v>26976.155240161279</c:v>
                </c:pt>
                <c:pt idx="23">
                  <c:v>27299.86910304322</c:v>
                </c:pt>
                <c:pt idx="24">
                  <c:v>27627.467532279745</c:v>
                </c:pt>
                <c:pt idx="25">
                  <c:v>27958.997142667107</c:v>
                </c:pt>
                <c:pt idx="26">
                  <c:v>28294.505108379119</c:v>
                </c:pt>
                <c:pt idx="27">
                  <c:v>28634.039169679676</c:v>
                </c:pt>
                <c:pt idx="28">
                  <c:v>28977.64763971584</c:v>
                </c:pt>
                <c:pt idx="29">
                  <c:v>29325.379411392438</c:v>
                </c:pt>
                <c:pt idx="30">
                  <c:v>29677.283964329155</c:v>
                </c:pt>
                <c:pt idx="31">
                  <c:v>30033.411371901111</c:v>
                </c:pt>
                <c:pt idx="32">
                  <c:v>30116.413454671867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0B-4D0E-817E-A6690E709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4154895"/>
        <c:axId val="1552427343"/>
      </c:lineChart>
      <c:catAx>
        <c:axId val="16041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2427343"/>
        <c:crosses val="autoZero"/>
        <c:auto val="1"/>
        <c:lblAlgn val="ctr"/>
        <c:lblOffset val="100"/>
        <c:tickMarkSkip val="1"/>
        <c:noMultiLvlLbl val="0"/>
      </c:catAx>
      <c:valAx>
        <c:axId val="155242734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41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des différents paramètres (base</a:t>
            </a:r>
            <a:r>
              <a:rPr lang="fr-FR" baseline="0"/>
              <a:t> 1 en 2018)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309183230709794E-2"/>
          <c:y val="9.2220672734402667E-2"/>
          <c:w val="0.65019105968095348"/>
          <c:h val="0.70587364650128881"/>
        </c:manualLayout>
      </c:layout>
      <c:lineChart>
        <c:grouping val="standard"/>
        <c:varyColors val="0"/>
        <c:ser>
          <c:idx val="1"/>
          <c:order val="0"/>
          <c:tx>
            <c:strRef>
              <c:f>'Scenario ViergeT4'!$AF$17</c:f>
              <c:strCache>
                <c:ptCount val="1"/>
                <c:pt idx="0">
                  <c:v>Nombre de passagers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'Scenario ViergeT4'!$AE$19:$AE$51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ViergeT4'!$AF$19:$AF$51</c:f>
              <c:numCache>
                <c:formatCode>_(* #,##0.00_);_(* \(#,##0.00\);_(* "-"??_);_(@_)</c:formatCode>
                <c:ptCount val="33"/>
                <c:pt idx="0">
                  <c:v>1</c:v>
                </c:pt>
                <c:pt idx="1">
                  <c:v>1.0229999999999999</c:v>
                </c:pt>
                <c:pt idx="2">
                  <c:v>1.0465289999999998</c:v>
                </c:pt>
                <c:pt idx="3">
                  <c:v>1.0705991669999997</c:v>
                </c:pt>
                <c:pt idx="4">
                  <c:v>1.0952229478409996</c:v>
                </c:pt>
                <c:pt idx="5">
                  <c:v>1.1204130756413426</c:v>
                </c:pt>
                <c:pt idx="6">
                  <c:v>1.1461825763810933</c:v>
                </c:pt>
                <c:pt idx="7">
                  <c:v>1.1725447756378584</c:v>
                </c:pt>
                <c:pt idx="8">
                  <c:v>1.1995133054775291</c:v>
                </c:pt>
                <c:pt idx="9">
                  <c:v>1.2271021115035121</c:v>
                </c:pt>
                <c:pt idx="10">
                  <c:v>1.2553254600680928</c:v>
                </c:pt>
                <c:pt idx="11">
                  <c:v>1.2841979456496588</c:v>
                </c:pt>
                <c:pt idx="12">
                  <c:v>1.3137344983996009</c:v>
                </c:pt>
                <c:pt idx="13">
                  <c:v>1.3439503918627915</c:v>
                </c:pt>
                <c:pt idx="14">
                  <c:v>1.3748612508756357</c:v>
                </c:pt>
                <c:pt idx="15">
                  <c:v>1.4064830596457751</c:v>
                </c:pt>
                <c:pt idx="16">
                  <c:v>1.4388321700176279</c:v>
                </c:pt>
                <c:pt idx="17">
                  <c:v>1.4719253099280332</c:v>
                </c:pt>
                <c:pt idx="18">
                  <c:v>1.5057795920563777</c:v>
                </c:pt>
                <c:pt idx="19">
                  <c:v>1.5404125226736742</c:v>
                </c:pt>
                <c:pt idx="20">
                  <c:v>1.5758420106951687</c:v>
                </c:pt>
                <c:pt idx="21">
                  <c:v>1.6120863769411575</c:v>
                </c:pt>
                <c:pt idx="22">
                  <c:v>1.649164363610804</c:v>
                </c:pt>
                <c:pt idx="23">
                  <c:v>1.6870951439738524</c:v>
                </c:pt>
                <c:pt idx="24">
                  <c:v>1.7258983322852508</c:v>
                </c:pt>
                <c:pt idx="25">
                  <c:v>1.7655939939278114</c:v>
                </c:pt>
                <c:pt idx="26">
                  <c:v>1.806202655788151</c:v>
                </c:pt>
                <c:pt idx="27">
                  <c:v>1.8477453168712781</c:v>
                </c:pt>
                <c:pt idx="28">
                  <c:v>1.8902434591593176</c:v>
                </c:pt>
                <c:pt idx="29">
                  <c:v>1.9337190587199817</c:v>
                </c:pt>
                <c:pt idx="30">
                  <c:v>1.9781945970705412</c:v>
                </c:pt>
                <c:pt idx="31">
                  <c:v>2.0236930728031632</c:v>
                </c:pt>
                <c:pt idx="32">
                  <c:v>2.0702380134776357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55-4B45-B97D-A99190D38CD8}"/>
            </c:ext>
          </c:extLst>
        </c:ser>
        <c:ser>
          <c:idx val="2"/>
          <c:order val="1"/>
          <c:tx>
            <c:strRef>
              <c:f>'Scenario ViergeT4'!$AG$17</c:f>
              <c:strCache>
                <c:ptCount val="1"/>
                <c:pt idx="0">
                  <c:v>Nombre de personnes par vol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'Scenario ViergeT4'!$AE$19:$AE$51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ViergeT4'!$AG$19:$AG$51</c:f>
              <c:numCache>
                <c:formatCode>_(* #,##0.00_);_(* \(#,##0.00\);_(* "-"??_);_(@_)</c:formatCode>
                <c:ptCount val="33"/>
                <c:pt idx="0">
                  <c:v>1</c:v>
                </c:pt>
                <c:pt idx="1">
                  <c:v>1.026</c:v>
                </c:pt>
                <c:pt idx="2">
                  <c:v>1.0526759999999999</c:v>
                </c:pt>
                <c:pt idx="3">
                  <c:v>1.0800455760000001</c:v>
                </c:pt>
                <c:pt idx="4">
                  <c:v>1.1081267609760002</c:v>
                </c:pt>
                <c:pt idx="5">
                  <c:v>1.136938056761376</c:v>
                </c:pt>
                <c:pt idx="6">
                  <c:v>1.1664984462371719</c:v>
                </c:pt>
                <c:pt idx="7">
                  <c:v>1.1968274058393384</c:v>
                </c:pt>
                <c:pt idx="8">
                  <c:v>1.2279449183911613</c:v>
                </c:pt>
                <c:pt idx="9">
                  <c:v>1.2598714862693314</c:v>
                </c:pt>
                <c:pt idx="10">
                  <c:v>1.292628144912334</c:v>
                </c:pt>
                <c:pt idx="11">
                  <c:v>1.326236476680055</c:v>
                </c:pt>
                <c:pt idx="12">
                  <c:v>1.3607186250737362</c:v>
                </c:pt>
                <c:pt idx="13">
                  <c:v>1.3960973093256535</c:v>
                </c:pt>
                <c:pt idx="14">
                  <c:v>1.4323958393681204</c:v>
                </c:pt>
                <c:pt idx="15">
                  <c:v>1.4696381311916915</c:v>
                </c:pt>
                <c:pt idx="16">
                  <c:v>1.5078487226026756</c:v>
                </c:pt>
                <c:pt idx="17">
                  <c:v>1.547052789390345</c:v>
                </c:pt>
                <c:pt idx="18">
                  <c:v>1.5872761619144939</c:v>
                </c:pt>
                <c:pt idx="19">
                  <c:v>1.628545342124271</c:v>
                </c:pt>
                <c:pt idx="20">
                  <c:v>1.66</c:v>
                </c:pt>
                <c:pt idx="21">
                  <c:v>1.66</c:v>
                </c:pt>
                <c:pt idx="22">
                  <c:v>1.66</c:v>
                </c:pt>
                <c:pt idx="23">
                  <c:v>1.66</c:v>
                </c:pt>
                <c:pt idx="24">
                  <c:v>1.66</c:v>
                </c:pt>
                <c:pt idx="25">
                  <c:v>1.66</c:v>
                </c:pt>
                <c:pt idx="26">
                  <c:v>1.66</c:v>
                </c:pt>
                <c:pt idx="27">
                  <c:v>1.66</c:v>
                </c:pt>
                <c:pt idx="28">
                  <c:v>1.66</c:v>
                </c:pt>
                <c:pt idx="29">
                  <c:v>1.66</c:v>
                </c:pt>
                <c:pt idx="30">
                  <c:v>1.66</c:v>
                </c:pt>
                <c:pt idx="31">
                  <c:v>1.66</c:v>
                </c:pt>
                <c:pt idx="32">
                  <c:v>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55-4B45-B97D-A99190D38CD8}"/>
            </c:ext>
          </c:extLst>
        </c:ser>
        <c:ser>
          <c:idx val="3"/>
          <c:order val="2"/>
          <c:tx>
            <c:strRef>
              <c:f>'Scenario ViergeT4'!$AH$17</c:f>
              <c:strCache>
                <c:ptCount val="1"/>
                <c:pt idx="0">
                  <c:v>Nombre de mouvements totaux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'Scenario ViergeT4'!$AE$19:$AE$51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ViergeT4'!$AH$19:$AH$51</c:f>
              <c:numCache>
                <c:formatCode>_(* #,##0.00_);_(* \(#,##0.00\);_(* "-"??_);_(@_)</c:formatCode>
                <c:ptCount val="33"/>
                <c:pt idx="0">
                  <c:v>1</c:v>
                </c:pt>
                <c:pt idx="1">
                  <c:v>0.99707602339181267</c:v>
                </c:pt>
                <c:pt idx="2">
                  <c:v>0.99416059642283083</c:v>
                </c:pt>
                <c:pt idx="3">
                  <c:v>0.99125369409410891</c:v>
                </c:pt>
                <c:pt idx="4">
                  <c:v>0.98835529147979861</c:v>
                </c:pt>
                <c:pt idx="5">
                  <c:v>0.98546536372693361</c:v>
                </c:pt>
                <c:pt idx="6">
                  <c:v>0.98258388605521729</c:v>
                </c:pt>
                <c:pt idx="7">
                  <c:v>0.97971083375681012</c:v>
                </c:pt>
                <c:pt idx="8">
                  <c:v>0.97684618219611763</c:v>
                </c:pt>
                <c:pt idx="9">
                  <c:v>0.9739899068095792</c:v>
                </c:pt>
                <c:pt idx="10">
                  <c:v>0.97114198310545752</c:v>
                </c:pt>
                <c:pt idx="11">
                  <c:v>0.96830238666362856</c:v>
                </c:pt>
                <c:pt idx="12">
                  <c:v>0.96547109313537238</c:v>
                </c:pt>
                <c:pt idx="13">
                  <c:v>0.96264807824316345</c:v>
                </c:pt>
                <c:pt idx="14">
                  <c:v>0.9598333177804641</c:v>
                </c:pt>
                <c:pt idx="15">
                  <c:v>0.95702678761151527</c:v>
                </c:pt>
                <c:pt idx="16">
                  <c:v>0.95422846367113068</c:v>
                </c:pt>
                <c:pt idx="17">
                  <c:v>0.95143832196448974</c:v>
                </c:pt>
                <c:pt idx="18">
                  <c:v>0.94865633856693266</c:v>
                </c:pt>
                <c:pt idx="19">
                  <c:v>0.94588248962375443</c:v>
                </c:pt>
                <c:pt idx="20">
                  <c:v>0.94930241608142685</c:v>
                </c:pt>
                <c:pt idx="21">
                  <c:v>0.97113637165129973</c:v>
                </c:pt>
                <c:pt idx="22">
                  <c:v>0.99347250819927946</c:v>
                </c:pt>
                <c:pt idx="23">
                  <c:v>1.0163223758878628</c:v>
                </c:pt>
                <c:pt idx="24">
                  <c:v>1.0396977905332836</c:v>
                </c:pt>
                <c:pt idx="25">
                  <c:v>1.063610839715549</c:v>
                </c:pt>
                <c:pt idx="26">
                  <c:v>1.0880738890290067</c:v>
                </c:pt>
                <c:pt idx="27">
                  <c:v>1.1130995884766737</c:v>
                </c:pt>
                <c:pt idx="28">
                  <c:v>1.1387008790116369</c:v>
                </c:pt>
                <c:pt idx="29">
                  <c:v>1.1648909992289045</c:v>
                </c:pt>
                <c:pt idx="30">
                  <c:v>1.1916834922111694</c:v>
                </c:pt>
                <c:pt idx="31">
                  <c:v>1.219092212532026</c:v>
                </c:pt>
                <c:pt idx="32">
                  <c:v>1.2471313334202625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55-4B45-B97D-A99190D38CD8}"/>
            </c:ext>
          </c:extLst>
        </c:ser>
        <c:ser>
          <c:idx val="4"/>
          <c:order val="3"/>
          <c:tx>
            <c:strRef>
              <c:f>'Scenario ViergeT4'!$AI$17</c:f>
              <c:strCache>
                <c:ptCount val="1"/>
                <c:pt idx="0">
                  <c:v>Distance moyenne par vol en km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'Scenario ViergeT4'!$AE$19:$AE$51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ViergeT4'!$AI$19:$AI$51</c:f>
              <c:numCache>
                <c:formatCode>_(* #,##0.00_);_(* \(#,##0.00\);_(* "-"??_);_(@_)</c:formatCode>
                <c:ptCount val="33"/>
                <c:pt idx="0">
                  <c:v>1</c:v>
                </c:pt>
                <c:pt idx="1">
                  <c:v>1.016</c:v>
                </c:pt>
                <c:pt idx="2">
                  <c:v>1.0322560000000001</c:v>
                </c:pt>
                <c:pt idx="3">
                  <c:v>1.048772096</c:v>
                </c:pt>
                <c:pt idx="4">
                  <c:v>1.065552449536</c:v>
                </c:pt>
                <c:pt idx="5">
                  <c:v>1.0826012887285761</c:v>
                </c:pt>
                <c:pt idx="6">
                  <c:v>1.0999229093482332</c:v>
                </c:pt>
                <c:pt idx="7">
                  <c:v>1.1175216758978048</c:v>
                </c:pt>
                <c:pt idx="8">
                  <c:v>1.1354020227121697</c:v>
                </c:pt>
                <c:pt idx="9">
                  <c:v>1.1535684550755645</c:v>
                </c:pt>
                <c:pt idx="10">
                  <c:v>1.1720255503567736</c:v>
                </c:pt>
                <c:pt idx="11">
                  <c:v>1.1907779591624821</c:v>
                </c:pt>
                <c:pt idx="12">
                  <c:v>1.2098304065090817</c:v>
                </c:pt>
                <c:pt idx="13">
                  <c:v>1.2291876930132271</c:v>
                </c:pt>
                <c:pt idx="14">
                  <c:v>1.2488546961014388</c:v>
                </c:pt>
                <c:pt idx="15">
                  <c:v>1.2688363712390618</c:v>
                </c:pt>
                <c:pt idx="16">
                  <c:v>1.2891377531788868</c:v>
                </c:pt>
                <c:pt idx="17">
                  <c:v>1.309763957229749</c:v>
                </c:pt>
                <c:pt idx="18">
                  <c:v>1.3307201805454252</c:v>
                </c:pt>
                <c:pt idx="19">
                  <c:v>1.3520117034341521</c:v>
                </c:pt>
                <c:pt idx="20">
                  <c:v>1.3736438906890984</c:v>
                </c:pt>
                <c:pt idx="21">
                  <c:v>1.395622192940124</c:v>
                </c:pt>
                <c:pt idx="22">
                  <c:v>1.417952148027166</c:v>
                </c:pt>
                <c:pt idx="23">
                  <c:v>1.4406393823956007</c:v>
                </c:pt>
                <c:pt idx="24">
                  <c:v>1.4636896125139305</c:v>
                </c:pt>
                <c:pt idx="25">
                  <c:v>1.4871086463141534</c:v>
                </c:pt>
                <c:pt idx="26">
                  <c:v>1.5109023846551799</c:v>
                </c:pt>
                <c:pt idx="27">
                  <c:v>1.5350768228096627</c:v>
                </c:pt>
                <c:pt idx="28">
                  <c:v>1.5596380519746174</c:v>
                </c:pt>
                <c:pt idx="29">
                  <c:v>1.5845922608062113</c:v>
                </c:pt>
                <c:pt idx="30">
                  <c:v>1.6099457369791106</c:v>
                </c:pt>
                <c:pt idx="31">
                  <c:v>1.6357048687707765</c:v>
                </c:pt>
                <c:pt idx="32">
                  <c:v>1.6467682173734046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55-4B45-B97D-A99190D38CD8}"/>
            </c:ext>
          </c:extLst>
        </c:ser>
        <c:ser>
          <c:idx val="5"/>
          <c:order val="4"/>
          <c:tx>
            <c:strRef>
              <c:f>'Scenario ViergeT4'!$AJ$17</c:f>
              <c:strCache>
                <c:ptCount val="1"/>
                <c:pt idx="0">
                  <c:v>Consommation moyenne par mouvement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'Scenario ViergeT4'!$AE$19:$AE$51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'Scenario ViergeT4'!$AJ$19:$AJ$51</c:f>
              <c:numCache>
                <c:formatCode>_(* #,##0.00_);_(* \(#,##0.00\);_(* "-"??_);_(@_)</c:formatCode>
                <c:ptCount val="33"/>
                <c:pt idx="0">
                  <c:v>1</c:v>
                </c:pt>
                <c:pt idx="1">
                  <c:v>1.0090000000000001</c:v>
                </c:pt>
                <c:pt idx="2">
                  <c:v>1.0180810000000002</c:v>
                </c:pt>
                <c:pt idx="3">
                  <c:v>1.0272437290000003</c:v>
                </c:pt>
                <c:pt idx="4">
                  <c:v>1.0364889225610003</c:v>
                </c:pt>
                <c:pt idx="5">
                  <c:v>1.0458173228640495</c:v>
                </c:pt>
                <c:pt idx="6">
                  <c:v>1.0552296787698261</c:v>
                </c:pt>
                <c:pt idx="7">
                  <c:v>1.0647267458787546</c:v>
                </c:pt>
                <c:pt idx="8">
                  <c:v>1.0743092865916635</c:v>
                </c:pt>
                <c:pt idx="9">
                  <c:v>1.0904239258905386</c:v>
                </c:pt>
                <c:pt idx="10">
                  <c:v>1.1067802847788968</c:v>
                </c:pt>
                <c:pt idx="11">
                  <c:v>1.1233819890505803</c:v>
                </c:pt>
                <c:pt idx="12">
                  <c:v>1.1368625729191877</c:v>
                </c:pt>
                <c:pt idx="13">
                  <c:v>1.1436837483567031</c:v>
                </c:pt>
                <c:pt idx="14">
                  <c:v>1.1505458508468436</c:v>
                </c:pt>
                <c:pt idx="15">
                  <c:v>1.1574491259519248</c:v>
                </c:pt>
                <c:pt idx="16">
                  <c:v>1.1643938207076368</c:v>
                </c:pt>
                <c:pt idx="17">
                  <c:v>1.1713801836318827</c:v>
                </c:pt>
                <c:pt idx="18">
                  <c:v>1.1784084647336743</c:v>
                </c:pt>
                <c:pt idx="19">
                  <c:v>1.1925493663104785</c:v>
                </c:pt>
                <c:pt idx="20">
                  <c:v>1.2068599587062045</c:v>
                </c:pt>
                <c:pt idx="21">
                  <c:v>1.2213422782106793</c:v>
                </c:pt>
                <c:pt idx="22">
                  <c:v>1.2359983855492076</c:v>
                </c:pt>
                <c:pt idx="23">
                  <c:v>1.2508303661757985</c:v>
                </c:pt>
                <c:pt idx="24">
                  <c:v>1.2658403305699082</c:v>
                </c:pt>
                <c:pt idx="25">
                  <c:v>1.2810304145367473</c:v>
                </c:pt>
                <c:pt idx="26">
                  <c:v>1.2964027795111885</c:v>
                </c:pt>
                <c:pt idx="27">
                  <c:v>1.3119596128653233</c:v>
                </c:pt>
                <c:pt idx="28">
                  <c:v>1.3277031282197076</c:v>
                </c:pt>
                <c:pt idx="29">
                  <c:v>1.3436355657583443</c:v>
                </c:pt>
                <c:pt idx="30">
                  <c:v>1.3597591925474448</c:v>
                </c:pt>
                <c:pt idx="31">
                  <c:v>1.3760763028580145</c:v>
                </c:pt>
                <c:pt idx="32">
                  <c:v>1.3798793073776927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55-4B45-B97D-A99190D38CD8}"/>
            </c:ext>
          </c:extLst>
        </c:ser>
        <c:ser>
          <c:idx val="0"/>
          <c:order val="5"/>
          <c:tx>
            <c:strRef>
              <c:f>'Scenario ViergeT4'!$AK$17</c:f>
              <c:strCache>
                <c:ptCount val="1"/>
                <c:pt idx="0">
                  <c:v>Emissions de GES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'Scenario ViergeT4'!$AK$19:$AK$51</c:f>
              <c:numCache>
                <c:formatCode>_(* #,##0.00_);_(* \(#,##0.00\);_(* "-"??_);_(@_)</c:formatCode>
                <c:ptCount val="33"/>
                <c:pt idx="0">
                  <c:v>1</c:v>
                </c:pt>
                <c:pt idx="1">
                  <c:v>1.004690180970444</c:v>
                </c:pt>
                <c:pt idx="2">
                  <c:v>1.0094046146798723</c:v>
                </c:pt>
                <c:pt idx="3">
                  <c:v>1.0141434353557428</c:v>
                </c:pt>
                <c:pt idx="4">
                  <c:v>1.018906777999673</c:v>
                </c:pt>
                <c:pt idx="5">
                  <c:v>1.0236947783920074</c:v>
                </c:pt>
                <c:pt idx="6">
                  <c:v>1.0285075730964146</c:v>
                </c:pt>
                <c:pt idx="7">
                  <c:v>1.0098515082949582</c:v>
                </c:pt>
                <c:pt idx="8">
                  <c:v>0.99211804825414029</c:v>
                </c:pt>
                <c:pt idx="9">
                  <c:v>0.98106615952135856</c:v>
                </c:pt>
                <c:pt idx="10">
                  <c:v>0.97070132831515799</c:v>
                </c:pt>
                <c:pt idx="11">
                  <c:v>0.96099959355591991</c:v>
                </c:pt>
                <c:pt idx="12">
                  <c:v>0.9491243337926345</c:v>
                </c:pt>
                <c:pt idx="13">
                  <c:v>0.93236439407234051</c:v>
                </c:pt>
                <c:pt idx="14">
                  <c:v>0.91641154763619082</c:v>
                </c:pt>
                <c:pt idx="15">
                  <c:v>0.90122783595886713</c:v>
                </c:pt>
                <c:pt idx="16">
                  <c:v>0.88677708830678958</c:v>
                </c:pt>
                <c:pt idx="17">
                  <c:v>0.88805388983219191</c:v>
                </c:pt>
                <c:pt idx="18">
                  <c:v>0.88933452565841997</c:v>
                </c:pt>
                <c:pt idx="19">
                  <c:v>0.89593085049624643</c:v>
                </c:pt>
                <c:pt idx="20">
                  <c:v>0.9084979099185071</c:v>
                </c:pt>
                <c:pt idx="21">
                  <c:v>0.93903673532254184</c:v>
                </c:pt>
                <c:pt idx="22">
                  <c:v>0.97060429238323398</c:v>
                </c:pt>
                <c:pt idx="23">
                  <c:v>1.0032353085852961</c:v>
                </c:pt>
                <c:pt idx="24">
                  <c:v>1.0369656862086702</c:v>
                </c:pt>
                <c:pt idx="25">
                  <c:v>1.0718325421540056</c:v>
                </c:pt>
                <c:pt idx="26">
                  <c:v>1.1078742491210118</c:v>
                </c:pt>
                <c:pt idx="27">
                  <c:v>1.1451304781857403</c:v>
                </c:pt>
                <c:pt idx="28">
                  <c:v>1.1836422428244187</c:v>
                </c:pt>
                <c:pt idx="29">
                  <c:v>1.2234519444330754</c:v>
                </c:pt>
                <c:pt idx="30">
                  <c:v>1.2646034193938909</c:v>
                </c:pt>
                <c:pt idx="31">
                  <c:v>1.3071419877409343</c:v>
                </c:pt>
                <c:pt idx="32">
                  <c:v>1.3387831246231017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55-4B45-B97D-A99190D38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8632927"/>
        <c:axId val="1562092639"/>
      </c:lineChart>
      <c:catAx>
        <c:axId val="1708632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2092639"/>
        <c:crosses val="autoZero"/>
        <c:auto val="1"/>
        <c:lblAlgn val="ctr"/>
        <c:lblOffset val="100"/>
        <c:noMultiLvlLbl val="0"/>
      </c:catAx>
      <c:valAx>
        <c:axId val="1562092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8632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315520294037306"/>
          <c:y val="0.20900741778599866"/>
          <c:w val="0.25425873875886396"/>
          <c:h val="0.6277643899458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image" Target="../media/image1.pn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53</xdr:row>
      <xdr:rowOff>11906</xdr:rowOff>
    </xdr:from>
    <xdr:to>
      <xdr:col>5</xdr:col>
      <xdr:colOff>928688</xdr:colOff>
      <xdr:row>66</xdr:row>
      <xdr:rowOff>154780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9496CC8-73EF-4F18-88FA-469591074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</xdr:colOff>
      <xdr:row>53</xdr:row>
      <xdr:rowOff>0</xdr:rowOff>
    </xdr:from>
    <xdr:to>
      <xdr:col>13</xdr:col>
      <xdr:colOff>750094</xdr:colOff>
      <xdr:row>66</xdr:row>
      <xdr:rowOff>142874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1FCE0D0-F6F2-4F98-A899-1B637719A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35718</xdr:colOff>
      <xdr:row>53</xdr:row>
      <xdr:rowOff>0</xdr:rowOff>
    </xdr:from>
    <xdr:to>
      <xdr:col>9</xdr:col>
      <xdr:colOff>738189</xdr:colOff>
      <xdr:row>66</xdr:row>
      <xdr:rowOff>142874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8F89D185-C1E0-4F39-A206-19501E22C2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934639</xdr:colOff>
      <xdr:row>52</xdr:row>
      <xdr:rowOff>178593</xdr:rowOff>
    </xdr:from>
    <xdr:to>
      <xdr:col>22</xdr:col>
      <xdr:colOff>273845</xdr:colOff>
      <xdr:row>72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C6948E04-52F9-46C1-B013-B2F6A73811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928687</xdr:colOff>
      <xdr:row>72</xdr:row>
      <xdr:rowOff>80964</xdr:rowOff>
    </xdr:from>
    <xdr:to>
      <xdr:col>22</xdr:col>
      <xdr:colOff>404813</xdr:colOff>
      <xdr:row>91</xdr:row>
      <xdr:rowOff>95252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AE7A6D04-73DA-4AF4-B7D1-D4789CE6F0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134942</xdr:colOff>
      <xdr:row>0</xdr:row>
      <xdr:rowOff>55565</xdr:rowOff>
    </xdr:from>
    <xdr:to>
      <xdr:col>0</xdr:col>
      <xdr:colOff>1206505</xdr:colOff>
      <xdr:row>5</xdr:row>
      <xdr:rowOff>71440</xdr:rowOff>
    </xdr:to>
    <xdr:pic>
      <xdr:nvPicPr>
        <xdr:cNvPr id="7" name="Image 6" descr="Une image contenant signe, alimentation&#10;&#10;Description générée automatiquement">
          <a:extLst>
            <a:ext uri="{FF2B5EF4-FFF2-40B4-BE49-F238E27FC236}">
              <a16:creationId xmlns:a16="http://schemas.microsoft.com/office/drawing/2014/main" id="{5EB03B35-AB6F-4A9F-90BE-C11F4E70A480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4942" y="55565"/>
          <a:ext cx="1071563" cy="1071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52</xdr:row>
      <xdr:rowOff>11906</xdr:rowOff>
    </xdr:from>
    <xdr:to>
      <xdr:col>5</xdr:col>
      <xdr:colOff>928688</xdr:colOff>
      <xdr:row>65</xdr:row>
      <xdr:rowOff>154780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391A1E2-CE42-4BB7-8141-B02DAB4E4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</xdr:colOff>
      <xdr:row>52</xdr:row>
      <xdr:rowOff>0</xdr:rowOff>
    </xdr:from>
    <xdr:to>
      <xdr:col>13</xdr:col>
      <xdr:colOff>750094</xdr:colOff>
      <xdr:row>65</xdr:row>
      <xdr:rowOff>142874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0EA8108-6916-4DDA-86C9-07DEE6BA7F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35718</xdr:colOff>
      <xdr:row>52</xdr:row>
      <xdr:rowOff>0</xdr:rowOff>
    </xdr:from>
    <xdr:to>
      <xdr:col>9</xdr:col>
      <xdr:colOff>738189</xdr:colOff>
      <xdr:row>65</xdr:row>
      <xdr:rowOff>142874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728E7BC5-814A-41EC-9C0B-49D39467DE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934639</xdr:colOff>
      <xdr:row>51</xdr:row>
      <xdr:rowOff>178593</xdr:rowOff>
    </xdr:from>
    <xdr:to>
      <xdr:col>22</xdr:col>
      <xdr:colOff>273845</xdr:colOff>
      <xdr:row>71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31DF6973-8E74-4431-A025-56734CA27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928687</xdr:colOff>
      <xdr:row>71</xdr:row>
      <xdr:rowOff>80964</xdr:rowOff>
    </xdr:from>
    <xdr:to>
      <xdr:col>22</xdr:col>
      <xdr:colOff>404813</xdr:colOff>
      <xdr:row>90</xdr:row>
      <xdr:rowOff>95252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1E62F92A-6842-455E-AAAD-0E909221A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127007</xdr:colOff>
      <xdr:row>0</xdr:row>
      <xdr:rowOff>126998</xdr:rowOff>
    </xdr:from>
    <xdr:to>
      <xdr:col>0</xdr:col>
      <xdr:colOff>1198570</xdr:colOff>
      <xdr:row>5</xdr:row>
      <xdr:rowOff>47623</xdr:rowOff>
    </xdr:to>
    <xdr:pic>
      <xdr:nvPicPr>
        <xdr:cNvPr id="7" name="Image 6" descr="Une image contenant signe, alimentation&#10;&#10;Description générée automatiquement">
          <a:extLst>
            <a:ext uri="{FF2B5EF4-FFF2-40B4-BE49-F238E27FC236}">
              <a16:creationId xmlns:a16="http://schemas.microsoft.com/office/drawing/2014/main" id="{009CC965-87DA-4723-B537-6F9AF793F4D2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7007" y="126998"/>
          <a:ext cx="1071563" cy="1071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BL2">
  <a:themeElements>
    <a:clrScheme name="Personnalisé 1">
      <a:dk1>
        <a:srgbClr val="000000"/>
      </a:dk1>
      <a:lt1>
        <a:srgbClr val="FFFFFF"/>
      </a:lt1>
      <a:dk2>
        <a:srgbClr val="1F2D29"/>
      </a:dk2>
      <a:lt2>
        <a:srgbClr val="3F9AB8"/>
      </a:lt2>
      <a:accent1>
        <a:srgbClr val="BBE2AC"/>
      </a:accent1>
      <a:accent2>
        <a:srgbClr val="86BF5A"/>
      </a:accent2>
      <a:accent3>
        <a:srgbClr val="4DADCF"/>
      </a:accent3>
      <a:accent4>
        <a:srgbClr val="CDB756"/>
      </a:accent4>
      <a:accent5>
        <a:srgbClr val="E29C36"/>
      </a:accent5>
      <a:accent6>
        <a:srgbClr val="8EC0C1"/>
      </a:accent6>
      <a:hlink>
        <a:srgbClr val="6D9D9B"/>
      </a:hlink>
      <a:folHlink>
        <a:srgbClr val="6D8583"/>
      </a:folHlink>
    </a:clrScheme>
    <a:fontScheme name="Thème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èmeBL2" id="{CC591335-8002-485F-9E64-02A68B86D4D5}" vid="{25B73A63-8199-4328-AADC-935F86BD3699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82AC7-663A-4420-9E8F-D766E46C53BF}">
  <dimension ref="B2:AP88"/>
  <sheetViews>
    <sheetView tabSelected="1" zoomScale="80" zoomScaleNormal="80" workbookViewId="0">
      <pane xSplit="2" ySplit="18" topLeftCell="C70" activePane="bottomRight" state="frozen"/>
      <selection pane="topRight" activeCell="E1" sqref="E1"/>
      <selection pane="bottomLeft" activeCell="A16" sqref="A16"/>
      <selection pane="bottomRight" activeCell="A13" sqref="A13"/>
    </sheetView>
  </sheetViews>
  <sheetFormatPr baseColWidth="10" defaultRowHeight="14.5" x14ac:dyDescent="0.35"/>
  <cols>
    <col min="1" max="1" width="20.81640625" customWidth="1"/>
    <col min="2" max="2" width="12.81640625" customWidth="1"/>
    <col min="3" max="3" width="14.1796875" customWidth="1"/>
    <col min="4" max="4" width="29.1796875" customWidth="1"/>
    <col min="5" max="5" width="13.453125" customWidth="1"/>
    <col min="6" max="6" width="14.1796875" customWidth="1"/>
    <col min="7" max="7" width="12.81640625" customWidth="1"/>
    <col min="9" max="9" width="19.26953125" customWidth="1"/>
    <col min="10" max="10" width="12.54296875" customWidth="1"/>
    <col min="11" max="12" width="14.7265625" customWidth="1"/>
    <col min="13" max="13" width="15.81640625" customWidth="1"/>
    <col min="14" max="14" width="11.54296875" bestFit="1" customWidth="1"/>
    <col min="15" max="15" width="14.1796875" customWidth="1"/>
    <col min="16" max="18" width="16.1796875" customWidth="1"/>
    <col min="20" max="20" width="14.26953125" customWidth="1"/>
    <col min="22" max="22" width="13.54296875" customWidth="1"/>
    <col min="23" max="24" width="14.81640625" customWidth="1"/>
    <col min="25" max="25" width="16.54296875" customWidth="1"/>
    <col min="26" max="26" width="13.54296875" customWidth="1"/>
    <col min="28" max="28" width="14.26953125" customWidth="1"/>
    <col min="29" max="29" width="14.453125" customWidth="1"/>
    <col min="34" max="34" width="14.81640625" customWidth="1"/>
    <col min="35" max="35" width="13.7265625" customWidth="1"/>
    <col min="36" max="37" width="16.26953125" customWidth="1"/>
    <col min="38" max="42" width="16" customWidth="1"/>
  </cols>
  <sheetData>
    <row r="2" spans="2:22" ht="23.5" x14ac:dyDescent="0.55000000000000004">
      <c r="B2" s="148" t="s">
        <v>106</v>
      </c>
      <c r="C2" s="149"/>
      <c r="D2" s="149"/>
      <c r="E2" s="149"/>
      <c r="F2" s="149"/>
      <c r="G2" s="149"/>
      <c r="H2" s="149"/>
      <c r="I2" s="149"/>
    </row>
    <row r="3" spans="2:22" ht="16" customHeight="1" x14ac:dyDescent="0.55000000000000004">
      <c r="B3" s="147"/>
      <c r="C3" s="146"/>
      <c r="D3" s="146"/>
      <c r="E3" s="146"/>
      <c r="F3" s="146"/>
      <c r="G3" s="146"/>
      <c r="H3" s="146"/>
      <c r="I3" s="146"/>
    </row>
    <row r="6" spans="2:22" x14ac:dyDescent="0.35">
      <c r="S6" s="142" t="s">
        <v>0</v>
      </c>
      <c r="T6" s="142"/>
      <c r="U6" s="142"/>
    </row>
    <row r="7" spans="2:22" x14ac:dyDescent="0.35">
      <c r="B7" s="123" t="s">
        <v>1</v>
      </c>
      <c r="C7" s="123"/>
      <c r="D7" s="123"/>
      <c r="E7" s="123"/>
      <c r="G7" s="143" t="s">
        <v>2</v>
      </c>
      <c r="H7" s="144"/>
      <c r="I7" s="144"/>
      <c r="J7" s="144"/>
      <c r="K7" s="145" t="s">
        <v>0</v>
      </c>
      <c r="L7" s="145"/>
      <c r="M7" s="145"/>
      <c r="P7" s="123" t="s">
        <v>2</v>
      </c>
      <c r="Q7" s="123"/>
      <c r="R7" s="123"/>
      <c r="S7" s="123"/>
      <c r="T7" s="142" t="s">
        <v>0</v>
      </c>
      <c r="U7" s="142"/>
      <c r="V7" s="142"/>
    </row>
    <row r="8" spans="2:22" x14ac:dyDescent="0.35">
      <c r="B8" s="124" t="s">
        <v>3</v>
      </c>
      <c r="C8" s="124"/>
      <c r="D8" s="1"/>
      <c r="E8" s="2">
        <v>2018</v>
      </c>
      <c r="F8" s="3"/>
      <c r="G8" s="139" t="s">
        <v>4</v>
      </c>
      <c r="H8" s="140"/>
      <c r="I8" s="141"/>
      <c r="J8" s="4" t="s">
        <v>5</v>
      </c>
      <c r="K8" s="5" t="s">
        <v>6</v>
      </c>
      <c r="L8" s="4" t="s">
        <v>7</v>
      </c>
      <c r="M8" s="6" t="s">
        <v>8</v>
      </c>
      <c r="P8" s="123" t="s">
        <v>4</v>
      </c>
      <c r="Q8" s="123"/>
      <c r="R8" s="123"/>
      <c r="S8" s="4" t="s">
        <v>5</v>
      </c>
      <c r="T8" s="5" t="s">
        <v>6</v>
      </c>
      <c r="U8" s="4" t="s">
        <v>7</v>
      </c>
      <c r="V8" s="6" t="s">
        <v>8</v>
      </c>
    </row>
    <row r="9" spans="2:22" ht="15" customHeight="1" x14ac:dyDescent="0.35">
      <c r="B9" s="88" t="s">
        <v>9</v>
      </c>
      <c r="C9" s="88"/>
      <c r="D9" s="7" t="s">
        <v>10</v>
      </c>
      <c r="E9" s="8">
        <v>172.4</v>
      </c>
      <c r="F9" s="3"/>
      <c r="G9" s="88" t="s">
        <v>11</v>
      </c>
      <c r="H9" s="88"/>
      <c r="I9" s="88"/>
      <c r="J9" s="9">
        <v>2.7E-2</v>
      </c>
      <c r="K9" s="10">
        <v>1.2E-2</v>
      </c>
      <c r="L9" s="10">
        <v>2.7E-2</v>
      </c>
      <c r="M9" s="11">
        <v>5.5E-2</v>
      </c>
      <c r="P9" s="88" t="s">
        <v>12</v>
      </c>
      <c r="Q9" s="88"/>
      <c r="R9" s="88"/>
      <c r="S9" s="9">
        <v>0</v>
      </c>
      <c r="T9" s="10">
        <v>-3.0000000000000001E-3</v>
      </c>
      <c r="U9" s="10">
        <v>0</v>
      </c>
      <c r="V9" s="11">
        <v>6.0000000000000001E-3</v>
      </c>
    </row>
    <row r="10" spans="2:22" ht="15" customHeight="1" x14ac:dyDescent="0.35">
      <c r="B10" s="88" t="s">
        <v>13</v>
      </c>
      <c r="C10" s="88"/>
      <c r="D10" s="7"/>
      <c r="E10" s="12">
        <v>109.5</v>
      </c>
      <c r="F10" s="3"/>
      <c r="G10" s="88" t="s">
        <v>14</v>
      </c>
      <c r="H10" s="88"/>
      <c r="I10" s="88"/>
      <c r="J10" s="9">
        <v>0.02</v>
      </c>
      <c r="K10" s="10">
        <v>0</v>
      </c>
      <c r="L10" s="10">
        <v>1.4E-2</v>
      </c>
      <c r="M10" s="11">
        <v>3.6999999999999998E-2</v>
      </c>
      <c r="P10" s="88" t="s">
        <v>15</v>
      </c>
      <c r="Q10" s="88"/>
      <c r="R10" s="88"/>
      <c r="S10" s="9">
        <v>0</v>
      </c>
      <c r="T10" s="10">
        <v>0</v>
      </c>
      <c r="U10" s="10">
        <v>0.05</v>
      </c>
      <c r="V10" s="11">
        <v>0.09</v>
      </c>
    </row>
    <row r="11" spans="2:22" ht="15" customHeight="1" x14ac:dyDescent="0.35">
      <c r="B11" s="88" t="s">
        <v>16</v>
      </c>
      <c r="C11" s="88"/>
      <c r="D11" s="7" t="s">
        <v>17</v>
      </c>
      <c r="E11" s="12">
        <v>1600</v>
      </c>
      <c r="F11" s="3"/>
      <c r="G11" s="88" t="s">
        <v>18</v>
      </c>
      <c r="H11" s="88"/>
      <c r="I11" s="88"/>
      <c r="J11" s="9">
        <v>1.7000000000000001E-2</v>
      </c>
      <c r="K11" s="10">
        <v>0</v>
      </c>
      <c r="L11" s="10">
        <v>1.7000000000000001E-2</v>
      </c>
      <c r="M11" s="11">
        <v>3.5000000000000003E-2</v>
      </c>
      <c r="P11" s="88" t="s">
        <v>19</v>
      </c>
      <c r="Q11" s="88"/>
      <c r="R11" s="88"/>
      <c r="S11" s="13">
        <v>0</v>
      </c>
      <c r="T11" s="14">
        <v>0</v>
      </c>
      <c r="U11" s="14">
        <v>15000</v>
      </c>
      <c r="V11" s="15">
        <v>80000</v>
      </c>
    </row>
    <row r="12" spans="2:22" ht="15" customHeight="1" x14ac:dyDescent="0.35">
      <c r="B12" s="88" t="s">
        <v>20</v>
      </c>
      <c r="C12" s="88"/>
      <c r="D12" s="7" t="s">
        <v>21</v>
      </c>
      <c r="E12" s="12">
        <f>((5+17.7*2)*1000000/2.52)/1575000*1000</f>
        <v>10178.886369362561</v>
      </c>
      <c r="F12" s="3"/>
      <c r="G12" s="88" t="s">
        <v>22</v>
      </c>
      <c r="H12" s="88"/>
      <c r="I12" s="88"/>
      <c r="J12" s="16">
        <v>1E-3</v>
      </c>
      <c r="K12" s="17">
        <v>1E-3</v>
      </c>
      <c r="L12" s="17">
        <v>1E-3</v>
      </c>
      <c r="M12" s="18">
        <v>1E-3</v>
      </c>
      <c r="P12" s="88" t="s">
        <v>23</v>
      </c>
      <c r="Q12" s="88"/>
      <c r="R12" s="88"/>
      <c r="S12" s="19">
        <v>0.56200000000000006</v>
      </c>
      <c r="T12" s="18">
        <v>0.53</v>
      </c>
      <c r="U12" s="18">
        <v>0.56200000000000006</v>
      </c>
      <c r="V12" s="18">
        <v>0.64</v>
      </c>
    </row>
    <row r="13" spans="2:22" ht="15" customHeight="1" x14ac:dyDescent="0.35">
      <c r="B13" s="88" t="s">
        <v>24</v>
      </c>
      <c r="C13" s="88"/>
      <c r="D13" s="7" t="s">
        <v>25</v>
      </c>
      <c r="E13" s="12">
        <v>2.52</v>
      </c>
      <c r="F13" s="3"/>
      <c r="G13" s="88" t="s">
        <v>26</v>
      </c>
      <c r="H13" s="88"/>
      <c r="I13" s="88"/>
      <c r="J13" s="19">
        <v>6.0000000000000001E-3</v>
      </c>
      <c r="K13" s="17">
        <v>0</v>
      </c>
      <c r="L13" s="17">
        <v>6.0000000000000001E-3</v>
      </c>
      <c r="M13" s="18">
        <v>1.2E-2</v>
      </c>
      <c r="P13" s="88" t="s">
        <v>27</v>
      </c>
      <c r="Q13" s="88"/>
      <c r="R13" s="88"/>
      <c r="S13" s="19">
        <v>8.9999999999999993E-3</v>
      </c>
      <c r="T13" s="18">
        <v>0</v>
      </c>
      <c r="U13" s="18">
        <v>2.5000000000000001E-3</v>
      </c>
      <c r="V13" s="18">
        <v>8.9999999999999993E-3</v>
      </c>
    </row>
    <row r="14" spans="2:22" ht="15.75" customHeight="1" x14ac:dyDescent="0.35">
      <c r="B14" s="88" t="s">
        <v>28</v>
      </c>
      <c r="C14" s="88"/>
      <c r="D14" s="7" t="s">
        <v>25</v>
      </c>
      <c r="E14" s="12">
        <f>0.22*E13</f>
        <v>0.5544</v>
      </c>
      <c r="F14" s="3"/>
      <c r="G14" s="88" t="s">
        <v>29</v>
      </c>
      <c r="H14" s="88"/>
      <c r="I14" s="88"/>
      <c r="J14" s="19">
        <v>2E-3</v>
      </c>
      <c r="K14" s="18">
        <v>0</v>
      </c>
      <c r="L14" s="18">
        <v>2E-3</v>
      </c>
      <c r="M14" s="18">
        <v>4.0000000000000001E-3</v>
      </c>
      <c r="P14" s="88" t="s">
        <v>30</v>
      </c>
      <c r="Q14" s="88"/>
      <c r="R14" s="88"/>
      <c r="S14" s="20">
        <v>2040</v>
      </c>
      <c r="T14" s="21">
        <v>2030</v>
      </c>
      <c r="U14" s="21">
        <v>2040</v>
      </c>
      <c r="V14" s="21">
        <v>2050</v>
      </c>
    </row>
    <row r="15" spans="2:22" x14ac:dyDescent="0.35">
      <c r="B15" s="88" t="s">
        <v>31</v>
      </c>
      <c r="C15" s="88"/>
      <c r="D15" s="7" t="s">
        <v>25</v>
      </c>
      <c r="E15" s="12">
        <v>2.52</v>
      </c>
      <c r="F15" s="3"/>
      <c r="G15" s="88" t="s">
        <v>32</v>
      </c>
      <c r="H15" s="88"/>
      <c r="I15" s="88"/>
      <c r="J15" s="19">
        <v>0</v>
      </c>
      <c r="K15" s="18">
        <v>0</v>
      </c>
      <c r="L15" s="18">
        <v>1E-3</v>
      </c>
      <c r="M15" s="18">
        <v>2E-3</v>
      </c>
    </row>
    <row r="16" spans="2:22" x14ac:dyDescent="0.35">
      <c r="D16" s="3"/>
      <c r="E16" s="3"/>
      <c r="F16" s="3"/>
      <c r="G16" s="3"/>
      <c r="H16" s="3"/>
    </row>
    <row r="17" spans="2:42" ht="15" customHeight="1" x14ac:dyDescent="0.35">
      <c r="C17" s="132" t="s">
        <v>11</v>
      </c>
      <c r="D17" s="132"/>
      <c r="E17" s="133" t="s">
        <v>13</v>
      </c>
      <c r="F17" s="133"/>
      <c r="G17" s="134" t="s">
        <v>33</v>
      </c>
      <c r="H17" s="135" t="s">
        <v>34</v>
      </c>
      <c r="I17" s="135"/>
      <c r="J17" s="136" t="s">
        <v>35</v>
      </c>
      <c r="K17" s="137"/>
      <c r="L17" s="137"/>
      <c r="M17" s="138"/>
      <c r="N17" s="128" t="s">
        <v>36</v>
      </c>
      <c r="O17" s="128"/>
      <c r="P17" s="125" t="s">
        <v>37</v>
      </c>
      <c r="Q17" s="22"/>
      <c r="R17" s="22"/>
      <c r="S17" s="129" t="s">
        <v>38</v>
      </c>
      <c r="T17" s="129"/>
      <c r="U17" s="130" t="s">
        <v>39</v>
      </c>
      <c r="V17" s="130"/>
      <c r="W17" s="125" t="s">
        <v>40</v>
      </c>
      <c r="X17" s="22"/>
      <c r="Y17" s="131" t="s">
        <v>41</v>
      </c>
      <c r="Z17" s="131"/>
      <c r="AA17" s="125" t="s">
        <v>42</v>
      </c>
      <c r="AB17" s="125" t="s">
        <v>43</v>
      </c>
      <c r="AC17" s="125" t="s">
        <v>44</v>
      </c>
      <c r="AE17" s="127" t="s">
        <v>45</v>
      </c>
      <c r="AF17" s="127"/>
      <c r="AG17" s="127"/>
      <c r="AH17" s="127"/>
      <c r="AI17" s="127"/>
      <c r="AJ17" s="127"/>
      <c r="AK17" s="23"/>
    </row>
    <row r="18" spans="2:42" ht="58" x14ac:dyDescent="0.35">
      <c r="B18" s="5" t="s">
        <v>46</v>
      </c>
      <c r="C18" s="24" t="s">
        <v>47</v>
      </c>
      <c r="D18" s="25" t="s">
        <v>48</v>
      </c>
      <c r="E18" s="26" t="s">
        <v>47</v>
      </c>
      <c r="F18" s="27" t="s">
        <v>49</v>
      </c>
      <c r="G18" s="134"/>
      <c r="H18" s="28" t="s">
        <v>47</v>
      </c>
      <c r="I18" s="29" t="s">
        <v>50</v>
      </c>
      <c r="J18" s="30" t="s">
        <v>51</v>
      </c>
      <c r="K18" s="30" t="s">
        <v>52</v>
      </c>
      <c r="L18" s="31" t="s">
        <v>27</v>
      </c>
      <c r="M18" s="32" t="s">
        <v>53</v>
      </c>
      <c r="N18" s="33" t="s">
        <v>47</v>
      </c>
      <c r="O18" s="34" t="s">
        <v>54</v>
      </c>
      <c r="P18" s="126"/>
      <c r="Q18" s="33" t="s">
        <v>23</v>
      </c>
      <c r="R18" s="34" t="s">
        <v>55</v>
      </c>
      <c r="S18" s="30" t="s">
        <v>47</v>
      </c>
      <c r="T18" s="35" t="s">
        <v>56</v>
      </c>
      <c r="U18" s="24" t="s">
        <v>47</v>
      </c>
      <c r="V18" s="25" t="s">
        <v>57</v>
      </c>
      <c r="W18" s="126"/>
      <c r="X18" s="36" t="s">
        <v>58</v>
      </c>
      <c r="Y18" s="26" t="s">
        <v>59</v>
      </c>
      <c r="Z18" s="27" t="s">
        <v>60</v>
      </c>
      <c r="AA18" s="126"/>
      <c r="AB18" s="126"/>
      <c r="AC18" s="126"/>
      <c r="AE18" s="5" t="s">
        <v>46</v>
      </c>
      <c r="AF18" s="25" t="s">
        <v>9</v>
      </c>
      <c r="AG18" s="27" t="s">
        <v>61</v>
      </c>
      <c r="AH18" s="27" t="s">
        <v>62</v>
      </c>
      <c r="AI18" s="29" t="s">
        <v>63</v>
      </c>
      <c r="AJ18" s="32" t="s">
        <v>64</v>
      </c>
      <c r="AK18" s="34" t="s">
        <v>65</v>
      </c>
      <c r="AL18" s="34" t="s">
        <v>66</v>
      </c>
      <c r="AM18" s="34" t="s">
        <v>67</v>
      </c>
      <c r="AN18" s="34" t="s">
        <v>68</v>
      </c>
      <c r="AO18" s="27" t="s">
        <v>69</v>
      </c>
      <c r="AP18" s="34" t="s">
        <v>70</v>
      </c>
    </row>
    <row r="19" spans="2:42" x14ac:dyDescent="0.35">
      <c r="B19" s="4">
        <v>2017</v>
      </c>
      <c r="C19" s="2"/>
      <c r="D19" s="37">
        <v>164.1</v>
      </c>
      <c r="E19" s="38"/>
      <c r="F19" s="39">
        <v>108</v>
      </c>
      <c r="G19" s="40">
        <f>D19/F19*1000</f>
        <v>1519.4444444444443</v>
      </c>
      <c r="H19" s="41"/>
      <c r="I19" s="42">
        <v>1572</v>
      </c>
      <c r="J19" s="43"/>
      <c r="K19" s="43"/>
      <c r="L19" s="43"/>
      <c r="M19" s="44"/>
      <c r="N19" s="45"/>
      <c r="O19" s="46"/>
      <c r="P19" s="47"/>
      <c r="Q19" s="48"/>
      <c r="R19" s="47"/>
      <c r="S19" s="43"/>
      <c r="T19" s="49"/>
      <c r="U19" s="2"/>
      <c r="V19" s="50"/>
      <c r="W19" s="47"/>
      <c r="X19" s="47"/>
      <c r="Y19" s="51"/>
      <c r="Z19" s="52"/>
      <c r="AA19" s="46"/>
      <c r="AB19" s="47"/>
      <c r="AC19" s="47"/>
      <c r="AE19" s="4"/>
      <c r="AF19" s="53"/>
      <c r="AG19" s="54"/>
      <c r="AH19" s="54"/>
      <c r="AI19" s="55"/>
      <c r="AJ19" s="44"/>
      <c r="AK19" s="47"/>
      <c r="AL19" s="47"/>
      <c r="AM19" s="47"/>
      <c r="AN19" s="47"/>
      <c r="AO19" s="54"/>
      <c r="AP19" s="47"/>
    </row>
    <row r="20" spans="2:42" x14ac:dyDescent="0.35">
      <c r="B20" s="4">
        <v>2018</v>
      </c>
      <c r="C20" s="2"/>
      <c r="D20" s="56">
        <f>E9</f>
        <v>172.4</v>
      </c>
      <c r="E20" s="57">
        <f t="shared" ref="E20:E52" si="0">$J$10</f>
        <v>0.02</v>
      </c>
      <c r="F20" s="39">
        <f>E10</f>
        <v>109.5</v>
      </c>
      <c r="G20" s="40">
        <f t="shared" ref="G20:G52" si="1">D20/F20*1000</f>
        <v>1574.4292237442924</v>
      </c>
      <c r="H20" s="41"/>
      <c r="I20" s="58">
        <f>E11</f>
        <v>1600</v>
      </c>
      <c r="J20" s="59">
        <f t="shared" ref="J20:J52" si="2">$J$12</f>
        <v>1E-3</v>
      </c>
      <c r="K20" s="60">
        <f t="shared" ref="K20:K52" si="3">$J$13</f>
        <v>6.0000000000000001E-3</v>
      </c>
      <c r="L20" s="60">
        <f t="shared" ref="L20:L31" si="4">IF($S$14&gt;B20,0,IF(B20&lt;2040,MIN($S$13,0.3%),$S$13))</f>
        <v>0</v>
      </c>
      <c r="M20" s="61">
        <f>E12</f>
        <v>10178.886369362561</v>
      </c>
      <c r="N20" s="62">
        <f t="shared" ref="N20:N52" si="5">-$J$14-$J$15</f>
        <v>-2E-3</v>
      </c>
      <c r="O20" s="63">
        <f>E13</f>
        <v>2.52</v>
      </c>
      <c r="P20" s="47">
        <f>G20*M20*O20/1000000</f>
        <v>40.38535913604408</v>
      </c>
      <c r="Q20" s="64">
        <f t="shared" ref="Q20:Q52" si="6">$S$12</f>
        <v>0.56200000000000006</v>
      </c>
      <c r="R20" s="47">
        <f>Q20*P20</f>
        <v>22.696571834456776</v>
      </c>
      <c r="S20" s="59">
        <f>0</f>
        <v>0</v>
      </c>
      <c r="T20" s="65">
        <f>E14</f>
        <v>0.5544</v>
      </c>
      <c r="U20" s="66">
        <v>0</v>
      </c>
      <c r="V20" s="67">
        <f>E15</f>
        <v>2.52</v>
      </c>
      <c r="W20" s="47">
        <f>G20*M20*(O20+T20+V20)/1000000</f>
        <v>89.655497282017848</v>
      </c>
      <c r="X20" s="47">
        <f>W20*Q20</f>
        <v>50.386389472494038</v>
      </c>
      <c r="Y20" s="51"/>
      <c r="Z20" s="52"/>
      <c r="AA20" s="68">
        <f>W20-Z20</f>
        <v>89.655497282017848</v>
      </c>
      <c r="AB20" s="68">
        <f>X20-Z20</f>
        <v>50.386389472494038</v>
      </c>
      <c r="AC20" s="47">
        <f>R20-Z20</f>
        <v>22.696571834456776</v>
      </c>
      <c r="AE20" s="4">
        <v>2018</v>
      </c>
      <c r="AF20" s="53">
        <f>D20/$D$20</f>
        <v>1</v>
      </c>
      <c r="AG20" s="54">
        <f>F20/$F$20</f>
        <v>1</v>
      </c>
      <c r="AH20" s="54">
        <f>G20/$G$20</f>
        <v>1</v>
      </c>
      <c r="AI20" s="55">
        <f>I20/$I$20</f>
        <v>1</v>
      </c>
      <c r="AJ20" s="44">
        <f>M20/$M$20</f>
        <v>1</v>
      </c>
      <c r="AK20" s="47">
        <f>X20/$X$20</f>
        <v>1</v>
      </c>
      <c r="AL20" s="47">
        <f>R20-Z20</f>
        <v>22.696571834456776</v>
      </c>
      <c r="AM20" s="47">
        <f>M20*G20*Q20*T20/1000000</f>
        <v>4.9932458035804892</v>
      </c>
      <c r="AN20" s="47">
        <f t="shared" ref="AN20:AN52" si="7">M20*G20*Q20*V20/1000000</f>
        <v>22.696571834456769</v>
      </c>
      <c r="AO20" s="54">
        <f>Z20</f>
        <v>0</v>
      </c>
      <c r="AP20" s="47">
        <f>W20-X20</f>
        <v>39.26910780952381</v>
      </c>
    </row>
    <row r="21" spans="2:42" x14ac:dyDescent="0.35">
      <c r="B21" s="4">
        <v>2019</v>
      </c>
      <c r="C21" s="66">
        <f t="shared" ref="C21:C52" si="8">$J$9</f>
        <v>2.7E-2</v>
      </c>
      <c r="D21" s="37">
        <f t="shared" ref="D21:D51" si="9">MIN(550,D20*(1+C21))</f>
        <v>177.0548</v>
      </c>
      <c r="E21" s="57">
        <f t="shared" si="0"/>
        <v>0.02</v>
      </c>
      <c r="F21" s="69">
        <f>MIN(F20*(1+E21),249)</f>
        <v>111.69</v>
      </c>
      <c r="G21" s="40">
        <f t="shared" si="1"/>
        <v>1585.2341301817532</v>
      </c>
      <c r="H21" s="70">
        <f t="shared" ref="H21:H52" si="10">$J$11</f>
        <v>1.7000000000000001E-2</v>
      </c>
      <c r="I21" s="42">
        <f>MIN(I20*(1+H21),4000)</f>
        <v>1627.1999999999998</v>
      </c>
      <c r="J21" s="59">
        <f t="shared" si="2"/>
        <v>1E-3</v>
      </c>
      <c r="K21" s="60">
        <f t="shared" si="3"/>
        <v>6.0000000000000001E-3</v>
      </c>
      <c r="L21" s="60">
        <f t="shared" si="4"/>
        <v>0</v>
      </c>
      <c r="M21" s="71">
        <f>IF(SUM($K$20:K21)&lt;6%,M20*(I21/I20-J21-K21-L21),M20*(I21/I20-J21-L21))</f>
        <v>10280.675233056187</v>
      </c>
      <c r="N21" s="62">
        <f t="shared" si="5"/>
        <v>-2E-3</v>
      </c>
      <c r="O21" s="47">
        <f>O20*(1+N21)</f>
        <v>2.5149599999999999</v>
      </c>
      <c r="P21" s="47">
        <f t="shared" ref="P21:P52" si="11">G21*M21*O21/1000000</f>
        <v>40.987000419708188</v>
      </c>
      <c r="Q21" s="64">
        <f t="shared" si="6"/>
        <v>0.56200000000000006</v>
      </c>
      <c r="R21" s="47">
        <f t="shared" ref="R21:R52" si="12">Q21*P21</f>
        <v>23.034694235876003</v>
      </c>
      <c r="S21" s="59">
        <f>0</f>
        <v>0</v>
      </c>
      <c r="T21" s="72">
        <f>T20*(1-S21)</f>
        <v>0.5544</v>
      </c>
      <c r="U21" s="66">
        <v>0</v>
      </c>
      <c r="V21" s="73">
        <f t="shared" ref="V21:V26" si="13">V20*(1-U21)</f>
        <v>2.52</v>
      </c>
      <c r="W21" s="47">
        <f t="shared" ref="W21:W52" si="14">G21*M21*(O21+T21+V21)/1000000</f>
        <v>91.091349630173085</v>
      </c>
      <c r="X21" s="47">
        <f t="shared" ref="X21:X52" si="15">W21*Q21</f>
        <v>51.193338492157281</v>
      </c>
      <c r="Y21" s="51">
        <v>0</v>
      </c>
      <c r="Z21" s="74">
        <f>SUM($Y$21:Y21)*1.3*3.7/1000000</f>
        <v>0</v>
      </c>
      <c r="AA21" s="68">
        <f t="shared" ref="AA21:AA52" si="16">W21-Z21</f>
        <v>91.091349630173085</v>
      </c>
      <c r="AB21" s="68">
        <f t="shared" ref="AB21:AB52" si="17">X21-Z21</f>
        <v>51.193338492157281</v>
      </c>
      <c r="AC21" s="47">
        <f t="shared" ref="AC21:AC52" si="18">R21-Z21</f>
        <v>23.034694235876003</v>
      </c>
      <c r="AE21" s="4">
        <v>2019</v>
      </c>
      <c r="AF21" s="53">
        <f t="shared" ref="AF21:AF52" si="19">D21/$D$20</f>
        <v>1.0269999999999999</v>
      </c>
      <c r="AG21" s="54">
        <f t="shared" ref="AG21:AG52" si="20">F21/$F$20</f>
        <v>1.02</v>
      </c>
      <c r="AH21" s="54">
        <f t="shared" ref="AH21:AH52" si="21">G21/$G$20</f>
        <v>1.0068627450980392</v>
      </c>
      <c r="AI21" s="55">
        <f t="shared" ref="AI21:AI52" si="22">I21/$I$20</f>
        <v>1.0169999999999999</v>
      </c>
      <c r="AJ21" s="44">
        <f t="shared" ref="AJ21:AJ52" si="23">M21/$M$20</f>
        <v>1.01</v>
      </c>
      <c r="AK21" s="47">
        <f t="shared" ref="AK21:AK52" si="24">X21/$X$20</f>
        <v>1.0160152181593356</v>
      </c>
      <c r="AL21" s="47">
        <f t="shared" ref="AL21:AL52" si="25">R21-Z21</f>
        <v>23.034694235876003</v>
      </c>
      <c r="AM21" s="47">
        <f t="shared" ref="AM21:AM52" si="26">M21*G21*Q21*T21/1000000</f>
        <v>5.0777883085097404</v>
      </c>
      <c r="AN21" s="47">
        <f t="shared" si="7"/>
        <v>23.080855947771546</v>
      </c>
      <c r="AO21" s="54">
        <f t="shared" ref="AO21:AO52" si="27">Z21</f>
        <v>0</v>
      </c>
      <c r="AP21" s="47">
        <f t="shared" ref="AP21:AP52" si="28">W21-X21</f>
        <v>39.898011138015804</v>
      </c>
    </row>
    <row r="22" spans="2:42" x14ac:dyDescent="0.35">
      <c r="B22" s="4">
        <v>2020</v>
      </c>
      <c r="C22" s="66">
        <f t="shared" si="8"/>
        <v>2.7E-2</v>
      </c>
      <c r="D22" s="37">
        <f t="shared" si="9"/>
        <v>181.83527959999998</v>
      </c>
      <c r="E22" s="57">
        <f t="shared" si="0"/>
        <v>0.02</v>
      </c>
      <c r="F22" s="69">
        <f t="shared" ref="F22:F52" si="29">MIN(F21*(1+E22),249)</f>
        <v>113.9238</v>
      </c>
      <c r="G22" s="40">
        <f t="shared" si="1"/>
        <v>1596.1131879379022</v>
      </c>
      <c r="H22" s="70">
        <f t="shared" si="10"/>
        <v>1.7000000000000001E-2</v>
      </c>
      <c r="I22" s="42">
        <f t="shared" ref="I22:I52" si="30">MIN(I21*(1+H22),4000)</f>
        <v>1654.8623999999998</v>
      </c>
      <c r="J22" s="59">
        <f t="shared" si="2"/>
        <v>1E-3</v>
      </c>
      <c r="K22" s="60">
        <f t="shared" si="3"/>
        <v>6.0000000000000001E-3</v>
      </c>
      <c r="L22" s="60">
        <f t="shared" si="4"/>
        <v>0</v>
      </c>
      <c r="M22" s="71">
        <f>IF(SUM($K$20:K22)&lt;6%,M21*(I22/I21-J22-K22-L22),M21*(I22/I21-J22-L22))</f>
        <v>10383.481985386748</v>
      </c>
      <c r="N22" s="62">
        <f t="shared" si="5"/>
        <v>-2E-3</v>
      </c>
      <c r="O22" s="47">
        <f t="shared" ref="O22:O52" si="31">O21*(1+N22)</f>
        <v>2.5099300799999997</v>
      </c>
      <c r="P22" s="47">
        <f t="shared" si="11"/>
        <v>41.597604660294117</v>
      </c>
      <c r="Q22" s="64">
        <f t="shared" si="6"/>
        <v>0.56200000000000006</v>
      </c>
      <c r="R22" s="47">
        <f t="shared" si="12"/>
        <v>23.377853819085296</v>
      </c>
      <c r="S22" s="59">
        <f>0</f>
        <v>0</v>
      </c>
      <c r="T22" s="72">
        <f t="shared" ref="T22:T52" si="32">T21*(1-S22)</f>
        <v>0.5544</v>
      </c>
      <c r="U22" s="66">
        <v>0</v>
      </c>
      <c r="V22" s="73">
        <f t="shared" si="13"/>
        <v>2.52</v>
      </c>
      <c r="W22" s="47">
        <f t="shared" si="14"/>
        <v>92.550289273567572</v>
      </c>
      <c r="X22" s="47">
        <f t="shared" si="15"/>
        <v>52.013262571744981</v>
      </c>
      <c r="Y22" s="51">
        <v>0</v>
      </c>
      <c r="Z22" s="74">
        <f>SUM($Y$21:Y22)*1.3*3.7/1000000</f>
        <v>0</v>
      </c>
      <c r="AA22" s="68">
        <f t="shared" si="16"/>
        <v>92.550289273567572</v>
      </c>
      <c r="AB22" s="68">
        <f t="shared" si="17"/>
        <v>52.013262571744981</v>
      </c>
      <c r="AC22" s="47">
        <f t="shared" si="18"/>
        <v>23.377853819085296</v>
      </c>
      <c r="AE22" s="4">
        <v>2020</v>
      </c>
      <c r="AF22" s="53">
        <f t="shared" si="19"/>
        <v>1.0547289999999998</v>
      </c>
      <c r="AG22" s="54">
        <f t="shared" si="20"/>
        <v>1.0404</v>
      </c>
      <c r="AH22" s="54">
        <f t="shared" si="21"/>
        <v>1.013772587466359</v>
      </c>
      <c r="AI22" s="55">
        <f t="shared" si="22"/>
        <v>1.0342889999999998</v>
      </c>
      <c r="AJ22" s="44">
        <f t="shared" si="23"/>
        <v>1.0201</v>
      </c>
      <c r="AK22" s="47">
        <f t="shared" si="24"/>
        <v>1.0322879475247786</v>
      </c>
      <c r="AL22" s="47">
        <f t="shared" si="25"/>
        <v>23.377853819085296</v>
      </c>
      <c r="AM22" s="47">
        <f t="shared" si="26"/>
        <v>5.1637622340861746</v>
      </c>
      <c r="AN22" s="47">
        <f t="shared" si="7"/>
        <v>23.471646518573518</v>
      </c>
      <c r="AO22" s="54">
        <f t="shared" si="27"/>
        <v>0</v>
      </c>
      <c r="AP22" s="47">
        <f t="shared" si="28"/>
        <v>40.53702670182259</v>
      </c>
    </row>
    <row r="23" spans="2:42" x14ac:dyDescent="0.35">
      <c r="B23" s="4">
        <v>2021</v>
      </c>
      <c r="C23" s="66">
        <f t="shared" si="8"/>
        <v>2.7E-2</v>
      </c>
      <c r="D23" s="37">
        <f t="shared" si="9"/>
        <v>186.74483214919996</v>
      </c>
      <c r="E23" s="57">
        <f t="shared" si="0"/>
        <v>0.02</v>
      </c>
      <c r="F23" s="69">
        <f t="shared" si="29"/>
        <v>116.202276</v>
      </c>
      <c r="G23" s="40">
        <f t="shared" si="1"/>
        <v>1607.0669058943388</v>
      </c>
      <c r="H23" s="70">
        <f t="shared" si="10"/>
        <v>1.7000000000000001E-2</v>
      </c>
      <c r="I23" s="42">
        <f t="shared" si="30"/>
        <v>1682.9950607999997</v>
      </c>
      <c r="J23" s="59">
        <f t="shared" si="2"/>
        <v>1E-3</v>
      </c>
      <c r="K23" s="60">
        <f t="shared" si="3"/>
        <v>6.0000000000000001E-3</v>
      </c>
      <c r="L23" s="60">
        <f t="shared" si="4"/>
        <v>0</v>
      </c>
      <c r="M23" s="71">
        <f>IF(SUM($K$20:K23)&lt;6%,M22*(I23/I22-J23-K23-L23),M22*(I23/I22-J23-L23))</f>
        <v>10487.316805240616</v>
      </c>
      <c r="N23" s="62">
        <f t="shared" si="5"/>
        <v>-2E-3</v>
      </c>
      <c r="O23" s="47">
        <f t="shared" si="31"/>
        <v>2.5049102198399997</v>
      </c>
      <c r="P23" s="47">
        <f t="shared" si="11"/>
        <v>42.217305383540499</v>
      </c>
      <c r="Q23" s="64">
        <f t="shared" si="6"/>
        <v>0.56200000000000006</v>
      </c>
      <c r="R23" s="47">
        <f t="shared" si="12"/>
        <v>23.726125625549763</v>
      </c>
      <c r="S23" s="59">
        <f>0</f>
        <v>0</v>
      </c>
      <c r="T23" s="72">
        <f t="shared" si="32"/>
        <v>0.5544</v>
      </c>
      <c r="U23" s="66">
        <v>0</v>
      </c>
      <c r="V23" s="73">
        <f t="shared" si="13"/>
        <v>2.52</v>
      </c>
      <c r="W23" s="47">
        <f t="shared" si="14"/>
        <v>94.032688882374003</v>
      </c>
      <c r="X23" s="47">
        <f t="shared" si="15"/>
        <v>52.846371151894196</v>
      </c>
      <c r="Y23" s="51">
        <v>0</v>
      </c>
      <c r="Z23" s="74">
        <f>SUM($Y$21:Y23)*1.3*3.7/1000000</f>
        <v>0</v>
      </c>
      <c r="AA23" s="68">
        <f t="shared" si="16"/>
        <v>94.032688882374003</v>
      </c>
      <c r="AB23" s="68">
        <f t="shared" si="17"/>
        <v>52.846371151894196</v>
      </c>
      <c r="AC23" s="47">
        <f t="shared" si="18"/>
        <v>23.726125625549763</v>
      </c>
      <c r="AE23" s="4">
        <v>2021</v>
      </c>
      <c r="AF23" s="53">
        <f t="shared" si="19"/>
        <v>1.0832066829999998</v>
      </c>
      <c r="AG23" s="54">
        <f t="shared" si="20"/>
        <v>1.0612079999999999</v>
      </c>
      <c r="AH23" s="54">
        <f t="shared" si="21"/>
        <v>1.0207298503215203</v>
      </c>
      <c r="AI23" s="55">
        <f t="shared" si="22"/>
        <v>1.0518719129999998</v>
      </c>
      <c r="AJ23" s="44">
        <f t="shared" si="23"/>
        <v>1.0303010000000001</v>
      </c>
      <c r="AK23" s="47">
        <f t="shared" si="24"/>
        <v>1.0488223447870395</v>
      </c>
      <c r="AL23" s="47">
        <f t="shared" si="25"/>
        <v>23.726125625549763</v>
      </c>
      <c r="AM23" s="47">
        <f t="shared" si="26"/>
        <v>5.2511918162260445</v>
      </c>
      <c r="AN23" s="47">
        <f t="shared" si="7"/>
        <v>23.869053710118386</v>
      </c>
      <c r="AO23" s="54">
        <f t="shared" si="27"/>
        <v>0</v>
      </c>
      <c r="AP23" s="47">
        <f t="shared" si="28"/>
        <v>41.186317730479807</v>
      </c>
    </row>
    <row r="24" spans="2:42" x14ac:dyDescent="0.35">
      <c r="B24" s="4">
        <v>2022</v>
      </c>
      <c r="C24" s="66">
        <f t="shared" si="8"/>
        <v>2.7E-2</v>
      </c>
      <c r="D24" s="37">
        <f t="shared" si="9"/>
        <v>191.78694261722833</v>
      </c>
      <c r="E24" s="57">
        <f t="shared" si="0"/>
        <v>0.02</v>
      </c>
      <c r="F24" s="69">
        <f t="shared" si="29"/>
        <v>118.52632152</v>
      </c>
      <c r="G24" s="40">
        <f t="shared" si="1"/>
        <v>1618.0957964249858</v>
      </c>
      <c r="H24" s="70">
        <f t="shared" si="10"/>
        <v>1.7000000000000001E-2</v>
      </c>
      <c r="I24" s="42">
        <f t="shared" si="30"/>
        <v>1711.6059768335995</v>
      </c>
      <c r="J24" s="59">
        <f t="shared" si="2"/>
        <v>1E-3</v>
      </c>
      <c r="K24" s="60">
        <f t="shared" si="3"/>
        <v>6.0000000000000001E-3</v>
      </c>
      <c r="L24" s="60">
        <f t="shared" si="4"/>
        <v>0</v>
      </c>
      <c r="M24" s="71">
        <f>IF(SUM($K$20:K24)&lt;6%,M23*(I24/I23-J24-K24-L24),M23*(I24/I23-J24-L24))</f>
        <v>10592.189973293023</v>
      </c>
      <c r="N24" s="62">
        <f t="shared" si="5"/>
        <v>-2E-3</v>
      </c>
      <c r="O24" s="47">
        <f t="shared" si="31"/>
        <v>2.4999003994003197</v>
      </c>
      <c r="P24" s="47">
        <f t="shared" si="11"/>
        <v>42.846238104386934</v>
      </c>
      <c r="Q24" s="64">
        <f t="shared" si="6"/>
        <v>0.56200000000000006</v>
      </c>
      <c r="R24" s="47">
        <f t="shared" si="12"/>
        <v>24.07958581466546</v>
      </c>
      <c r="S24" s="59">
        <f>0</f>
        <v>0</v>
      </c>
      <c r="T24" s="72">
        <f t="shared" si="32"/>
        <v>0.5544</v>
      </c>
      <c r="U24" s="66">
        <v>0</v>
      </c>
      <c r="V24" s="73">
        <f t="shared" si="13"/>
        <v>2.52</v>
      </c>
      <c r="W24" s="47">
        <f t="shared" si="14"/>
        <v>95.538927165009497</v>
      </c>
      <c r="X24" s="47">
        <f t="shared" si="15"/>
        <v>53.692877066735342</v>
      </c>
      <c r="Y24" s="51">
        <f>$S$11</f>
        <v>0</v>
      </c>
      <c r="Z24" s="74">
        <f>SUM($Y$21:Y24)*1.3*3.7/1000000</f>
        <v>0</v>
      </c>
      <c r="AA24" s="68">
        <f t="shared" si="16"/>
        <v>95.538927165009497</v>
      </c>
      <c r="AB24" s="68">
        <f t="shared" si="17"/>
        <v>53.692877066735342</v>
      </c>
      <c r="AC24" s="47">
        <f t="shared" si="18"/>
        <v>24.07958581466546</v>
      </c>
      <c r="AE24" s="4">
        <v>2022</v>
      </c>
      <c r="AF24" s="53">
        <f t="shared" si="19"/>
        <v>1.1124532634409996</v>
      </c>
      <c r="AG24" s="54">
        <f t="shared" si="20"/>
        <v>1.08243216</v>
      </c>
      <c r="AH24" s="54">
        <f t="shared" si="21"/>
        <v>1.0277348590982363</v>
      </c>
      <c r="AI24" s="55">
        <f t="shared" si="22"/>
        <v>1.0697537355209996</v>
      </c>
      <c r="AJ24" s="44">
        <f t="shared" si="23"/>
        <v>1.0406040100000002</v>
      </c>
      <c r="AK24" s="47">
        <f t="shared" si="24"/>
        <v>1.0656226339862338</v>
      </c>
      <c r="AL24" s="47">
        <f t="shared" si="25"/>
        <v>24.07958581466546</v>
      </c>
      <c r="AM24" s="47">
        <f t="shared" si="26"/>
        <v>5.3401017011929293</v>
      </c>
      <c r="AN24" s="47">
        <f t="shared" si="7"/>
        <v>24.273189550876953</v>
      </c>
      <c r="AO24" s="54">
        <f t="shared" si="27"/>
        <v>0</v>
      </c>
      <c r="AP24" s="47">
        <f t="shared" si="28"/>
        <v>41.846050098274155</v>
      </c>
    </row>
    <row r="25" spans="2:42" x14ac:dyDescent="0.35">
      <c r="B25" s="4">
        <v>2023</v>
      </c>
      <c r="C25" s="66">
        <f t="shared" si="8"/>
        <v>2.7E-2</v>
      </c>
      <c r="D25" s="37">
        <f t="shared" si="9"/>
        <v>196.96519006789347</v>
      </c>
      <c r="E25" s="57">
        <f t="shared" si="0"/>
        <v>0.02</v>
      </c>
      <c r="F25" s="69">
        <f t="shared" si="29"/>
        <v>120.8968479504</v>
      </c>
      <c r="G25" s="40">
        <f t="shared" si="1"/>
        <v>1629.2003754200591</v>
      </c>
      <c r="H25" s="70">
        <f t="shared" si="10"/>
        <v>1.7000000000000001E-2</v>
      </c>
      <c r="I25" s="42">
        <f t="shared" si="30"/>
        <v>1740.7032784397704</v>
      </c>
      <c r="J25" s="59">
        <f t="shared" si="2"/>
        <v>1E-3</v>
      </c>
      <c r="K25" s="60">
        <f t="shared" si="3"/>
        <v>6.0000000000000001E-3</v>
      </c>
      <c r="L25" s="60">
        <f t="shared" si="4"/>
        <v>0</v>
      </c>
      <c r="M25" s="71">
        <f>IF(SUM($K$20:K25)&lt;6%,M24*(I25/I24-J25-K25-L25),M24*(I25/I24-J25-L25))</f>
        <v>10698.111873025953</v>
      </c>
      <c r="N25" s="62">
        <f t="shared" si="5"/>
        <v>-2E-3</v>
      </c>
      <c r="O25" s="47">
        <f t="shared" si="31"/>
        <v>2.4949005986015189</v>
      </c>
      <c r="P25" s="47">
        <f t="shared" si="11"/>
        <v>43.4845403566082</v>
      </c>
      <c r="Q25" s="64">
        <f t="shared" si="6"/>
        <v>0.56200000000000006</v>
      </c>
      <c r="R25" s="47">
        <f t="shared" si="12"/>
        <v>24.438311680413811</v>
      </c>
      <c r="S25" s="59">
        <f>0</f>
        <v>0</v>
      </c>
      <c r="T25" s="72">
        <f t="shared" si="32"/>
        <v>0.5544</v>
      </c>
      <c r="U25" s="66">
        <v>0</v>
      </c>
      <c r="V25" s="73">
        <f t="shared" si="13"/>
        <v>2.52</v>
      </c>
      <c r="W25" s="47">
        <f t="shared" si="14"/>
        <v>97.069388966325803</v>
      </c>
      <c r="X25" s="47">
        <f t="shared" si="15"/>
        <v>54.552996599075108</v>
      </c>
      <c r="Y25" s="51">
        <f t="shared" ref="Y25:Y52" si="33">$S$11</f>
        <v>0</v>
      </c>
      <c r="Z25" s="74">
        <f>SUM($Y$21:Y25)*1.3*3.7/1000000</f>
        <v>0</v>
      </c>
      <c r="AA25" s="68">
        <f t="shared" si="16"/>
        <v>97.069388966325803</v>
      </c>
      <c r="AB25" s="68">
        <f t="shared" si="17"/>
        <v>54.552996599075108</v>
      </c>
      <c r="AC25" s="47">
        <f t="shared" si="18"/>
        <v>24.438311680413811</v>
      </c>
      <c r="AE25" s="4">
        <v>2023</v>
      </c>
      <c r="AF25" s="53">
        <f t="shared" si="19"/>
        <v>1.1424895015539065</v>
      </c>
      <c r="AG25" s="54">
        <f t="shared" si="20"/>
        <v>1.1040808032</v>
      </c>
      <c r="AH25" s="54">
        <f t="shared" si="21"/>
        <v>1.0347879414645966</v>
      </c>
      <c r="AI25" s="55">
        <f t="shared" si="22"/>
        <v>1.0879395490248565</v>
      </c>
      <c r="AJ25" s="44">
        <f t="shared" si="23"/>
        <v>1.0510100501000001</v>
      </c>
      <c r="AK25" s="47">
        <f t="shared" si="24"/>
        <v>1.0826931076070776</v>
      </c>
      <c r="AL25" s="47">
        <f t="shared" si="25"/>
        <v>24.438311680413811</v>
      </c>
      <c r="AM25" s="47">
        <f t="shared" si="26"/>
        <v>5.4305169525454806</v>
      </c>
      <c r="AN25" s="47">
        <f t="shared" si="7"/>
        <v>24.684167966115822</v>
      </c>
      <c r="AO25" s="54">
        <f t="shared" si="27"/>
        <v>0</v>
      </c>
      <c r="AP25" s="47">
        <f t="shared" si="28"/>
        <v>42.516392367250695</v>
      </c>
    </row>
    <row r="26" spans="2:42" x14ac:dyDescent="0.35">
      <c r="B26" s="4">
        <v>2024</v>
      </c>
      <c r="C26" s="66">
        <f t="shared" si="8"/>
        <v>2.7E-2</v>
      </c>
      <c r="D26" s="37">
        <f t="shared" si="9"/>
        <v>202.28325019972658</v>
      </c>
      <c r="E26" s="57">
        <f t="shared" si="0"/>
        <v>0.02</v>
      </c>
      <c r="F26" s="69">
        <f t="shared" si="29"/>
        <v>123.314784909408</v>
      </c>
      <c r="G26" s="40">
        <f t="shared" si="1"/>
        <v>1640.3811623101965</v>
      </c>
      <c r="H26" s="70">
        <f t="shared" si="10"/>
        <v>1.7000000000000001E-2</v>
      </c>
      <c r="I26" s="42">
        <f t="shared" si="30"/>
        <v>1770.2952341732464</v>
      </c>
      <c r="J26" s="59">
        <f t="shared" si="2"/>
        <v>1E-3</v>
      </c>
      <c r="K26" s="60">
        <f t="shared" si="3"/>
        <v>6.0000000000000001E-3</v>
      </c>
      <c r="L26" s="60">
        <f t="shared" si="4"/>
        <v>0</v>
      </c>
      <c r="M26" s="71">
        <f>IF(SUM($K$20:K26)&lt;6%,M25*(I26/I25-J26-K26-L26),M25*(I26/I25-J26-L26))</f>
        <v>10805.092991756213</v>
      </c>
      <c r="N26" s="62">
        <f t="shared" si="5"/>
        <v>-2E-3</v>
      </c>
      <c r="O26" s="47">
        <f t="shared" si="31"/>
        <v>2.489910797404316</v>
      </c>
      <c r="P26" s="47">
        <f t="shared" si="11"/>
        <v>44.132351722889787</v>
      </c>
      <c r="Q26" s="64">
        <f t="shared" si="6"/>
        <v>0.56200000000000006</v>
      </c>
      <c r="R26" s="47">
        <f t="shared" si="12"/>
        <v>24.802381668264061</v>
      </c>
      <c r="S26" s="59">
        <f>0</f>
        <v>0</v>
      </c>
      <c r="T26" s="72">
        <f t="shared" si="32"/>
        <v>0.5544</v>
      </c>
      <c r="U26" s="66">
        <v>0</v>
      </c>
      <c r="V26" s="73">
        <f t="shared" si="13"/>
        <v>2.52</v>
      </c>
      <c r="W26" s="47">
        <f t="shared" si="14"/>
        <v>98.624465367401328</v>
      </c>
      <c r="X26" s="47">
        <f t="shared" si="15"/>
        <v>55.426949536479555</v>
      </c>
      <c r="Y26" s="51">
        <f t="shared" si="33"/>
        <v>0</v>
      </c>
      <c r="Z26" s="74">
        <f>SUM($Y$21:Y26)*1.3*3.7/1000000</f>
        <v>0</v>
      </c>
      <c r="AA26" s="68">
        <f t="shared" si="16"/>
        <v>98.624465367401328</v>
      </c>
      <c r="AB26" s="68">
        <f t="shared" si="17"/>
        <v>55.426949536479555</v>
      </c>
      <c r="AC26" s="47">
        <f t="shared" si="18"/>
        <v>24.802381668264061</v>
      </c>
      <c r="AE26" s="4">
        <v>2024</v>
      </c>
      <c r="AF26" s="53">
        <f t="shared" si="19"/>
        <v>1.1733367180958618</v>
      </c>
      <c r="AG26" s="54">
        <f t="shared" si="20"/>
        <v>1.1261624192640001</v>
      </c>
      <c r="AH26" s="54">
        <f t="shared" si="21"/>
        <v>1.0418894273373926</v>
      </c>
      <c r="AI26" s="55">
        <f t="shared" si="22"/>
        <v>1.1064345213582789</v>
      </c>
      <c r="AJ26" s="44">
        <f t="shared" si="23"/>
        <v>1.0615201506010001</v>
      </c>
      <c r="AK26" s="47">
        <f t="shared" si="24"/>
        <v>1.1000381276919466</v>
      </c>
      <c r="AL26" s="47">
        <f t="shared" si="25"/>
        <v>24.802381668264061</v>
      </c>
      <c r="AM26" s="47">
        <f t="shared" si="26"/>
        <v>5.5224630582027938</v>
      </c>
      <c r="AN26" s="47">
        <f t="shared" si="7"/>
        <v>25.102104810012698</v>
      </c>
      <c r="AO26" s="54">
        <f t="shared" si="27"/>
        <v>0</v>
      </c>
      <c r="AP26" s="47">
        <f t="shared" si="28"/>
        <v>43.197515830921773</v>
      </c>
    </row>
    <row r="27" spans="2:42" x14ac:dyDescent="0.35">
      <c r="B27" s="4">
        <v>2025</v>
      </c>
      <c r="C27" s="66">
        <f t="shared" si="8"/>
        <v>2.7E-2</v>
      </c>
      <c r="D27" s="37">
        <f t="shared" si="9"/>
        <v>207.74489795511917</v>
      </c>
      <c r="E27" s="57">
        <f t="shared" si="0"/>
        <v>0.02</v>
      </c>
      <c r="F27" s="69">
        <f t="shared" si="29"/>
        <v>125.78108060759617</v>
      </c>
      <c r="G27" s="40">
        <f t="shared" si="1"/>
        <v>1651.6386800907562</v>
      </c>
      <c r="H27" s="70">
        <f t="shared" si="10"/>
        <v>1.7000000000000001E-2</v>
      </c>
      <c r="I27" s="42">
        <f t="shared" si="30"/>
        <v>1800.3902531541914</v>
      </c>
      <c r="J27" s="59">
        <f t="shared" si="2"/>
        <v>1E-3</v>
      </c>
      <c r="K27" s="60">
        <f t="shared" si="3"/>
        <v>6.0000000000000001E-3</v>
      </c>
      <c r="L27" s="60">
        <f t="shared" si="4"/>
        <v>0</v>
      </c>
      <c r="M27" s="71">
        <f>IF(SUM($K$20:K27)&lt;6%,M26*(I27/I26-J27-K27-L27),M26*(I27/I26-J27-L27))</f>
        <v>10913.143921673776</v>
      </c>
      <c r="N27" s="62">
        <f t="shared" si="5"/>
        <v>-2E-3</v>
      </c>
      <c r="O27" s="47">
        <f t="shared" si="31"/>
        <v>2.4849309758095073</v>
      </c>
      <c r="P27" s="47">
        <f t="shared" si="11"/>
        <v>44.789813865351633</v>
      </c>
      <c r="Q27" s="64">
        <f t="shared" si="6"/>
        <v>0.56200000000000006</v>
      </c>
      <c r="R27" s="47">
        <f t="shared" si="12"/>
        <v>25.171875392327621</v>
      </c>
      <c r="S27" s="59">
        <f>0</f>
        <v>0</v>
      </c>
      <c r="T27" s="72">
        <f t="shared" si="32"/>
        <v>0.5544</v>
      </c>
      <c r="U27" s="66">
        <f>$S$10</f>
        <v>0</v>
      </c>
      <c r="V27" s="73">
        <f>IF(SUM($U$20:U27)&lt;55%,V26*(1-U27),V26)</f>
        <v>2.52</v>
      </c>
      <c r="W27" s="47">
        <f t="shared" si="14"/>
        <v>100.2045537869619</v>
      </c>
      <c r="X27" s="47">
        <f t="shared" si="15"/>
        <v>56.314959228272592</v>
      </c>
      <c r="Y27" s="51">
        <f t="shared" si="33"/>
        <v>0</v>
      </c>
      <c r="Z27" s="74">
        <f>SUM($Y$21:Y27)*1.3*3.7/1000000</f>
        <v>0</v>
      </c>
      <c r="AA27" s="68">
        <f t="shared" si="16"/>
        <v>100.2045537869619</v>
      </c>
      <c r="AB27" s="68">
        <f t="shared" si="17"/>
        <v>56.314959228272592</v>
      </c>
      <c r="AC27" s="47">
        <f t="shared" si="18"/>
        <v>25.171875392327621</v>
      </c>
      <c r="AE27" s="4">
        <v>2025</v>
      </c>
      <c r="AF27" s="53">
        <f t="shared" si="19"/>
        <v>1.20501680948445</v>
      </c>
      <c r="AG27" s="54">
        <f t="shared" si="20"/>
        <v>1.14868566764928</v>
      </c>
      <c r="AH27" s="54">
        <f t="shared" si="21"/>
        <v>1.0490396488975511</v>
      </c>
      <c r="AI27" s="55">
        <f t="shared" si="22"/>
        <v>1.1252439082213697</v>
      </c>
      <c r="AJ27" s="44">
        <f t="shared" si="23"/>
        <v>1.0721353521070103</v>
      </c>
      <c r="AK27" s="47">
        <f t="shared" si="24"/>
        <v>1.1176621269721054</v>
      </c>
      <c r="AL27" s="47">
        <f t="shared" si="25"/>
        <v>25.171875392327621</v>
      </c>
      <c r="AM27" s="47">
        <f t="shared" si="26"/>
        <v>5.6159659376294222</v>
      </c>
      <c r="AN27" s="47">
        <f t="shared" si="7"/>
        <v>25.527117898315552</v>
      </c>
      <c r="AO27" s="54">
        <f t="shared" si="27"/>
        <v>0</v>
      </c>
      <c r="AP27" s="47">
        <f t="shared" si="28"/>
        <v>43.889594558689303</v>
      </c>
    </row>
    <row r="28" spans="2:42" x14ac:dyDescent="0.35">
      <c r="B28" s="4">
        <v>2026</v>
      </c>
      <c r="C28" s="66">
        <f t="shared" si="8"/>
        <v>2.7E-2</v>
      </c>
      <c r="D28" s="37">
        <f t="shared" si="9"/>
        <v>213.35401019990738</v>
      </c>
      <c r="E28" s="57">
        <f t="shared" si="0"/>
        <v>0.02</v>
      </c>
      <c r="F28" s="69">
        <f t="shared" si="29"/>
        <v>128.29670221974808</v>
      </c>
      <c r="G28" s="40">
        <f t="shared" si="1"/>
        <v>1662.9734553462811</v>
      </c>
      <c r="H28" s="70">
        <f t="shared" si="10"/>
        <v>1.7000000000000001E-2</v>
      </c>
      <c r="I28" s="42">
        <f t="shared" si="30"/>
        <v>1830.9968874578126</v>
      </c>
      <c r="J28" s="59">
        <f t="shared" si="2"/>
        <v>1E-3</v>
      </c>
      <c r="K28" s="60">
        <f t="shared" si="3"/>
        <v>6.0000000000000001E-3</v>
      </c>
      <c r="L28" s="60">
        <f t="shared" si="4"/>
        <v>0</v>
      </c>
      <c r="M28" s="71">
        <f>IF(SUM($K$20:K28)&lt;6%,M27*(I28/I27-J28-K28-L28),M27*(I28/I27-J28-L28))</f>
        <v>11022.275360890515</v>
      </c>
      <c r="N28" s="62">
        <f t="shared" si="5"/>
        <v>-2E-3</v>
      </c>
      <c r="O28" s="47">
        <f t="shared" si="31"/>
        <v>2.4799611138578883</v>
      </c>
      <c r="P28" s="47">
        <f t="shared" si="11"/>
        <v>45.457070556526553</v>
      </c>
      <c r="Q28" s="64">
        <f t="shared" si="6"/>
        <v>0.56200000000000006</v>
      </c>
      <c r="R28" s="47">
        <f t="shared" si="12"/>
        <v>25.546873652767925</v>
      </c>
      <c r="S28" s="59">
        <f>0</f>
        <v>0</v>
      </c>
      <c r="T28" s="72">
        <f t="shared" si="32"/>
        <v>0.5544</v>
      </c>
      <c r="U28" s="66">
        <f t="shared" ref="U28:U52" si="34">$S$10</f>
        <v>0</v>
      </c>
      <c r="V28" s="73">
        <f>IF(SUM($U$20:U28)&lt;55%,V27*(1-U28),V27)</f>
        <v>2.52</v>
      </c>
      <c r="W28" s="47">
        <f t="shared" si="14"/>
        <v>101.81005808445666</v>
      </c>
      <c r="X28" s="47">
        <f t="shared" si="15"/>
        <v>57.217252643464647</v>
      </c>
      <c r="Y28" s="51">
        <f t="shared" si="33"/>
        <v>0</v>
      </c>
      <c r="Z28" s="74">
        <f>SUM($Y$21:Y28)*1.3*3.7/1000000</f>
        <v>0</v>
      </c>
      <c r="AA28" s="68">
        <f t="shared" si="16"/>
        <v>101.81005808445666</v>
      </c>
      <c r="AB28" s="68">
        <f t="shared" si="17"/>
        <v>57.217252643464647</v>
      </c>
      <c r="AC28" s="47">
        <f t="shared" si="18"/>
        <v>25.546873652767925</v>
      </c>
      <c r="AE28" s="4">
        <v>2026</v>
      </c>
      <c r="AF28" s="53">
        <f t="shared" si="19"/>
        <v>1.23755226334053</v>
      </c>
      <c r="AG28" s="54">
        <f t="shared" si="20"/>
        <v>1.1716593810022655</v>
      </c>
      <c r="AH28" s="54">
        <f t="shared" si="21"/>
        <v>1.0562389406056716</v>
      </c>
      <c r="AI28" s="55">
        <f t="shared" si="22"/>
        <v>1.1443730546611328</v>
      </c>
      <c r="AJ28" s="44">
        <f t="shared" si="23"/>
        <v>1.0828567056280805</v>
      </c>
      <c r="AK28" s="47">
        <f t="shared" si="24"/>
        <v>1.1355696100173953</v>
      </c>
      <c r="AL28" s="47">
        <f t="shared" si="25"/>
        <v>25.546873652767925</v>
      </c>
      <c r="AM28" s="47">
        <f t="shared" si="26"/>
        <v>5.7110519491420311</v>
      </c>
      <c r="AN28" s="47">
        <f t="shared" si="7"/>
        <v>25.95932704155469</v>
      </c>
      <c r="AO28" s="54">
        <f t="shared" si="27"/>
        <v>0</v>
      </c>
      <c r="AP28" s="47">
        <f t="shared" si="28"/>
        <v>44.592805440992009</v>
      </c>
    </row>
    <row r="29" spans="2:42" x14ac:dyDescent="0.35">
      <c r="B29" s="4">
        <v>2027</v>
      </c>
      <c r="C29" s="66">
        <f t="shared" si="8"/>
        <v>2.7E-2</v>
      </c>
      <c r="D29" s="37">
        <f t="shared" si="9"/>
        <v>219.11456847530485</v>
      </c>
      <c r="E29" s="57">
        <f t="shared" si="0"/>
        <v>0.02</v>
      </c>
      <c r="F29" s="69">
        <f t="shared" si="29"/>
        <v>130.86263626414305</v>
      </c>
      <c r="G29" s="40">
        <f t="shared" si="1"/>
        <v>1674.386018275128</v>
      </c>
      <c r="H29" s="70">
        <f t="shared" si="10"/>
        <v>1.7000000000000001E-2</v>
      </c>
      <c r="I29" s="42">
        <f t="shared" si="30"/>
        <v>1862.1238345445952</v>
      </c>
      <c r="J29" s="59">
        <f t="shared" si="2"/>
        <v>1E-3</v>
      </c>
      <c r="K29" s="60">
        <f t="shared" si="3"/>
        <v>6.0000000000000001E-3</v>
      </c>
      <c r="L29" s="60">
        <f t="shared" si="4"/>
        <v>0</v>
      </c>
      <c r="M29" s="71">
        <f>IF(SUM($K$20:K29)&lt;6%,M28*(I29/I28-J29-K29-L29),M28*(I29/I28-J29-L29))</f>
        <v>11198.631766664763</v>
      </c>
      <c r="N29" s="62">
        <f t="shared" si="5"/>
        <v>-2E-3</v>
      </c>
      <c r="O29" s="47">
        <f t="shared" si="31"/>
        <v>2.4750011916301724</v>
      </c>
      <c r="P29" s="47">
        <f t="shared" si="11"/>
        <v>46.408332667497767</v>
      </c>
      <c r="Q29" s="64">
        <f t="shared" si="6"/>
        <v>0.56200000000000006</v>
      </c>
      <c r="R29" s="47">
        <f t="shared" si="12"/>
        <v>26.081482959133748</v>
      </c>
      <c r="S29" s="59">
        <f>0</f>
        <v>0</v>
      </c>
      <c r="T29" s="72">
        <f t="shared" si="32"/>
        <v>0.5544</v>
      </c>
      <c r="U29" s="66">
        <f t="shared" si="34"/>
        <v>0</v>
      </c>
      <c r="V29" s="73">
        <f>IF(SUM($U$20:U29)&lt;55%,V28*(1-U29),V28)</f>
        <v>2.52</v>
      </c>
      <c r="W29" s="47">
        <f t="shared" si="14"/>
        <v>104.05589196381459</v>
      </c>
      <c r="X29" s="47">
        <f t="shared" si="15"/>
        <v>58.479411283663801</v>
      </c>
      <c r="Y29" s="51">
        <f t="shared" si="33"/>
        <v>0</v>
      </c>
      <c r="Z29" s="74">
        <f>SUM($Y$21:Y29)*1.3*3.7/1000000</f>
        <v>0</v>
      </c>
      <c r="AA29" s="68">
        <f t="shared" si="16"/>
        <v>104.05589196381459</v>
      </c>
      <c r="AB29" s="68">
        <f t="shared" si="17"/>
        <v>58.479411283663801</v>
      </c>
      <c r="AC29" s="47">
        <f t="shared" si="18"/>
        <v>26.081482959133748</v>
      </c>
      <c r="AE29" s="4">
        <v>2027</v>
      </c>
      <c r="AF29" s="53">
        <f t="shared" si="19"/>
        <v>1.2709661744507241</v>
      </c>
      <c r="AG29" s="54">
        <f t="shared" si="20"/>
        <v>1.1950925686223111</v>
      </c>
      <c r="AH29" s="54">
        <f t="shared" si="21"/>
        <v>1.0634876392176711</v>
      </c>
      <c r="AI29" s="55">
        <f t="shared" si="22"/>
        <v>1.163827396590372</v>
      </c>
      <c r="AJ29" s="44">
        <f t="shared" si="23"/>
        <v>1.1001824129181297</v>
      </c>
      <c r="AK29" s="47">
        <f t="shared" si="24"/>
        <v>1.1606192048268857</v>
      </c>
      <c r="AL29" s="47">
        <f t="shared" si="25"/>
        <v>26.081482959133748</v>
      </c>
      <c r="AM29" s="47">
        <f t="shared" si="26"/>
        <v>5.8422493699972229</v>
      </c>
      <c r="AN29" s="47">
        <f t="shared" si="7"/>
        <v>26.555678954532826</v>
      </c>
      <c r="AO29" s="54">
        <f t="shared" si="27"/>
        <v>0</v>
      </c>
      <c r="AP29" s="47">
        <f t="shared" si="28"/>
        <v>45.576480680150787</v>
      </c>
    </row>
    <row r="30" spans="2:42" x14ac:dyDescent="0.35">
      <c r="B30" s="4">
        <v>2028</v>
      </c>
      <c r="C30" s="66">
        <f t="shared" si="8"/>
        <v>2.7E-2</v>
      </c>
      <c r="D30" s="37">
        <f t="shared" si="9"/>
        <v>225.03066182413806</v>
      </c>
      <c r="E30" s="57">
        <f t="shared" si="0"/>
        <v>0.02</v>
      </c>
      <c r="F30" s="69">
        <f t="shared" si="29"/>
        <v>133.47988898942592</v>
      </c>
      <c r="G30" s="40">
        <f t="shared" si="1"/>
        <v>1685.8769027142707</v>
      </c>
      <c r="H30" s="70">
        <f t="shared" si="10"/>
        <v>1.7000000000000001E-2</v>
      </c>
      <c r="I30" s="42">
        <f t="shared" si="30"/>
        <v>1893.7799397318531</v>
      </c>
      <c r="J30" s="59">
        <f t="shared" si="2"/>
        <v>1E-3</v>
      </c>
      <c r="K30" s="60">
        <f t="shared" si="3"/>
        <v>6.0000000000000001E-3</v>
      </c>
      <c r="L30" s="60">
        <f t="shared" si="4"/>
        <v>0</v>
      </c>
      <c r="M30" s="71">
        <f>IF(SUM($K$20:K30)&lt;6%,M29*(I30/I29-J30-K30-L30),M29*(I30/I29-J30-L30))</f>
        <v>11377.809874931399</v>
      </c>
      <c r="N30" s="62">
        <f t="shared" si="5"/>
        <v>-2E-3</v>
      </c>
      <c r="O30" s="47">
        <f t="shared" si="31"/>
        <v>2.4700511892469121</v>
      </c>
      <c r="P30" s="47">
        <f t="shared" si="11"/>
        <v>47.379501463890882</v>
      </c>
      <c r="Q30" s="64">
        <f t="shared" si="6"/>
        <v>0.56200000000000006</v>
      </c>
      <c r="R30" s="47">
        <f t="shared" si="12"/>
        <v>26.627279822706679</v>
      </c>
      <c r="S30" s="59">
        <f>0</f>
        <v>0</v>
      </c>
      <c r="T30" s="72">
        <f t="shared" si="32"/>
        <v>0.5544</v>
      </c>
      <c r="U30" s="66">
        <f t="shared" si="34"/>
        <v>0</v>
      </c>
      <c r="V30" s="73">
        <f>IF(SUM($U$20:U30)&lt;55%,V29*(1-U30),V29)</f>
        <v>2.52</v>
      </c>
      <c r="W30" s="47">
        <f t="shared" si="14"/>
        <v>106.35137214200307</v>
      </c>
      <c r="X30" s="47">
        <f t="shared" si="15"/>
        <v>59.769471143805731</v>
      </c>
      <c r="Y30" s="51">
        <f t="shared" si="33"/>
        <v>0</v>
      </c>
      <c r="Z30" s="74">
        <f>SUM($Y$21:Y30)*1.3*3.7/1000000</f>
        <v>0</v>
      </c>
      <c r="AA30" s="68">
        <f t="shared" si="16"/>
        <v>106.35137214200307</v>
      </c>
      <c r="AB30" s="68">
        <f t="shared" si="17"/>
        <v>59.769471143805731</v>
      </c>
      <c r="AC30" s="47">
        <f t="shared" si="18"/>
        <v>26.627279822706679</v>
      </c>
      <c r="AE30" s="4">
        <v>2028</v>
      </c>
      <c r="AF30" s="53">
        <f t="shared" si="19"/>
        <v>1.3052822611608936</v>
      </c>
      <c r="AG30" s="54">
        <f t="shared" si="20"/>
        <v>1.2189944199947573</v>
      </c>
      <c r="AH30" s="54">
        <f t="shared" si="21"/>
        <v>1.0707860838005372</v>
      </c>
      <c r="AI30" s="55">
        <f t="shared" si="22"/>
        <v>1.1836124623324082</v>
      </c>
      <c r="AJ30" s="44">
        <f t="shared" si="23"/>
        <v>1.1177853315248198</v>
      </c>
      <c r="AK30" s="47">
        <f t="shared" si="24"/>
        <v>1.1862225448091279</v>
      </c>
      <c r="AL30" s="47">
        <f t="shared" si="25"/>
        <v>26.627279822706679</v>
      </c>
      <c r="AM30" s="47">
        <f t="shared" si="26"/>
        <v>5.9764607300342556</v>
      </c>
      <c r="AN30" s="47">
        <f t="shared" si="7"/>
        <v>27.165730591064797</v>
      </c>
      <c r="AO30" s="54">
        <f t="shared" si="27"/>
        <v>0</v>
      </c>
      <c r="AP30" s="47">
        <f t="shared" si="28"/>
        <v>46.581900998197341</v>
      </c>
    </row>
    <row r="31" spans="2:42" x14ac:dyDescent="0.35">
      <c r="B31" s="4">
        <v>2029</v>
      </c>
      <c r="C31" s="66">
        <f t="shared" si="8"/>
        <v>2.7E-2</v>
      </c>
      <c r="D31" s="37">
        <f t="shared" si="9"/>
        <v>231.10648969338976</v>
      </c>
      <c r="E31" s="57">
        <f t="shared" si="0"/>
        <v>0.02</v>
      </c>
      <c r="F31" s="69">
        <f t="shared" si="29"/>
        <v>136.14948676921443</v>
      </c>
      <c r="G31" s="40">
        <f t="shared" si="1"/>
        <v>1697.4466461642705</v>
      </c>
      <c r="H31" s="70">
        <f t="shared" si="10"/>
        <v>1.7000000000000001E-2</v>
      </c>
      <c r="I31" s="42">
        <f t="shared" si="30"/>
        <v>1925.9741987072944</v>
      </c>
      <c r="J31" s="59">
        <f t="shared" si="2"/>
        <v>1E-3</v>
      </c>
      <c r="K31" s="60">
        <f t="shared" si="3"/>
        <v>6.0000000000000001E-3</v>
      </c>
      <c r="L31" s="60">
        <f t="shared" si="4"/>
        <v>0</v>
      </c>
      <c r="M31" s="71">
        <f>IF(SUM($K$20:K31)&lt;6%,M30*(I31/I30-J31-K31-L31),M30*(I31/I30-J31-L31))</f>
        <v>11559.854832930301</v>
      </c>
      <c r="N31" s="62">
        <f t="shared" si="5"/>
        <v>-2E-3</v>
      </c>
      <c r="O31" s="47">
        <f t="shared" si="31"/>
        <v>2.4651110868684185</v>
      </c>
      <c r="P31" s="47">
        <f t="shared" si="11"/>
        <v>48.370993525027103</v>
      </c>
      <c r="Q31" s="64">
        <f t="shared" si="6"/>
        <v>0.56200000000000006</v>
      </c>
      <c r="R31" s="47">
        <f t="shared" si="12"/>
        <v>27.184498361065234</v>
      </c>
      <c r="S31" s="59">
        <f>0</f>
        <v>0</v>
      </c>
      <c r="T31" s="72">
        <f t="shared" si="32"/>
        <v>0.5544</v>
      </c>
      <c r="U31" s="66">
        <f t="shared" si="34"/>
        <v>0</v>
      </c>
      <c r="V31" s="73">
        <f>IF(SUM($U$20:U31)&lt;55%,V30*(1-U31),V30)</f>
        <v>2.52</v>
      </c>
      <c r="W31" s="47">
        <f t="shared" si="14"/>
        <v>108.69759839307021</v>
      </c>
      <c r="X31" s="47">
        <f t="shared" si="15"/>
        <v>61.088050296905465</v>
      </c>
      <c r="Y31" s="51">
        <f t="shared" si="33"/>
        <v>0</v>
      </c>
      <c r="Z31" s="74">
        <f>SUM($Y$21:Y31)*1.3*3.7/1000000</f>
        <v>0</v>
      </c>
      <c r="AA31" s="68">
        <f t="shared" si="16"/>
        <v>108.69759839307021</v>
      </c>
      <c r="AB31" s="68">
        <f t="shared" si="17"/>
        <v>61.088050296905465</v>
      </c>
      <c r="AC31" s="47">
        <f t="shared" si="18"/>
        <v>27.184498361065234</v>
      </c>
      <c r="AE31" s="4">
        <v>2029</v>
      </c>
      <c r="AF31" s="53">
        <f t="shared" si="19"/>
        <v>1.3405248822122375</v>
      </c>
      <c r="AG31" s="54">
        <f t="shared" si="20"/>
        <v>1.2433743083946525</v>
      </c>
      <c r="AH31" s="54">
        <f t="shared" si="21"/>
        <v>1.0781346157481879</v>
      </c>
      <c r="AI31" s="55">
        <f t="shared" si="22"/>
        <v>1.2037338741920589</v>
      </c>
      <c r="AJ31" s="44">
        <f t="shared" si="23"/>
        <v>1.1356698968292169</v>
      </c>
      <c r="AK31" s="47">
        <f t="shared" si="24"/>
        <v>1.2123918966302094</v>
      </c>
      <c r="AL31" s="47">
        <f t="shared" si="25"/>
        <v>27.184498361065234</v>
      </c>
      <c r="AM31" s="47">
        <f t="shared" si="26"/>
        <v>6.1137552671187274</v>
      </c>
      <c r="AN31" s="47">
        <f t="shared" si="7"/>
        <v>27.78979666872149</v>
      </c>
      <c r="AO31" s="54">
        <f t="shared" si="27"/>
        <v>0</v>
      </c>
      <c r="AP31" s="47">
        <f t="shared" si="28"/>
        <v>47.609548096164744</v>
      </c>
    </row>
    <row r="32" spans="2:42" x14ac:dyDescent="0.35">
      <c r="B32" s="4">
        <v>2030</v>
      </c>
      <c r="C32" s="66">
        <f t="shared" si="8"/>
        <v>2.7E-2</v>
      </c>
      <c r="D32" s="37">
        <f t="shared" si="9"/>
        <v>237.34636491511125</v>
      </c>
      <c r="E32" s="57">
        <f t="shared" si="0"/>
        <v>0.02</v>
      </c>
      <c r="F32" s="69">
        <f t="shared" si="29"/>
        <v>138.87247650459872</v>
      </c>
      <c r="G32" s="40">
        <f t="shared" si="1"/>
        <v>1709.0957898144172</v>
      </c>
      <c r="H32" s="70">
        <f t="shared" si="10"/>
        <v>1.7000000000000001E-2</v>
      </c>
      <c r="I32" s="42">
        <f t="shared" si="30"/>
        <v>1958.7157600853182</v>
      </c>
      <c r="J32" s="59">
        <f t="shared" si="2"/>
        <v>1E-3</v>
      </c>
      <c r="K32" s="60">
        <f t="shared" si="3"/>
        <v>6.0000000000000001E-3</v>
      </c>
      <c r="L32" s="60">
        <f>IF($S$14&gt;B32,0,IF(B32&lt;2040,MIN($S$13,0.3%),$S$13))</f>
        <v>0</v>
      </c>
      <c r="M32" s="71">
        <f>IF(SUM($K$20:K32)&lt;6%,M31*(I32/I31-J32-K32-L32),M31*(I32/I31-J32-L32))</f>
        <v>11744.812510257187</v>
      </c>
      <c r="N32" s="62">
        <f t="shared" si="5"/>
        <v>-2E-3</v>
      </c>
      <c r="O32" s="47">
        <f t="shared" si="31"/>
        <v>2.4601808646946819</v>
      </c>
      <c r="P32" s="47">
        <f t="shared" si="11"/>
        <v>49.383234147818101</v>
      </c>
      <c r="Q32" s="64">
        <f t="shared" si="6"/>
        <v>0.56200000000000006</v>
      </c>
      <c r="R32" s="47">
        <f t="shared" si="12"/>
        <v>27.753377591073775</v>
      </c>
      <c r="S32" s="59">
        <f t="shared" ref="S32:S52" si="35">$S$9</f>
        <v>0</v>
      </c>
      <c r="T32" s="72">
        <f t="shared" si="32"/>
        <v>0.5544</v>
      </c>
      <c r="U32" s="66">
        <f t="shared" si="34"/>
        <v>0</v>
      </c>
      <c r="V32" s="73">
        <f>IF(SUM($U$20:U32)&lt;55%,V31*(1-U32),V31)</f>
        <v>2.52</v>
      </c>
      <c r="W32" s="47">
        <f t="shared" si="14"/>
        <v>111.09569490337881</v>
      </c>
      <c r="X32" s="47">
        <f t="shared" si="15"/>
        <v>62.435780535698896</v>
      </c>
      <c r="Y32" s="51">
        <f t="shared" si="33"/>
        <v>0</v>
      </c>
      <c r="Z32" s="74">
        <f>SUM($Y$21:Y32)*1.3*3.7/1000000</f>
        <v>0</v>
      </c>
      <c r="AA32" s="68">
        <f t="shared" si="16"/>
        <v>111.09569490337881</v>
      </c>
      <c r="AB32" s="68">
        <f t="shared" si="17"/>
        <v>62.435780535698896</v>
      </c>
      <c r="AC32" s="47">
        <f t="shared" si="18"/>
        <v>27.753377591073775</v>
      </c>
      <c r="AE32" s="4">
        <v>2030</v>
      </c>
      <c r="AF32" s="53">
        <f t="shared" si="19"/>
        <v>1.3767190540319678</v>
      </c>
      <c r="AG32" s="54">
        <f t="shared" si="20"/>
        <v>1.2682417945625455</v>
      </c>
      <c r="AH32" s="54">
        <f t="shared" si="21"/>
        <v>1.0855335787974401</v>
      </c>
      <c r="AI32" s="55">
        <f t="shared" si="22"/>
        <v>1.2241973500533239</v>
      </c>
      <c r="AJ32" s="44">
        <f t="shared" si="23"/>
        <v>1.1538406151784844</v>
      </c>
      <c r="AK32" s="47">
        <f t="shared" si="24"/>
        <v>1.2391397992464339</v>
      </c>
      <c r="AL32" s="47">
        <f t="shared" si="25"/>
        <v>27.753377591073775</v>
      </c>
      <c r="AM32" s="47">
        <f t="shared" si="26"/>
        <v>6.2542038096864987</v>
      </c>
      <c r="AN32" s="47">
        <f t="shared" si="7"/>
        <v>28.428199134938627</v>
      </c>
      <c r="AO32" s="54">
        <f t="shared" si="27"/>
        <v>0</v>
      </c>
      <c r="AP32" s="47">
        <f t="shared" si="28"/>
        <v>48.659914367679917</v>
      </c>
    </row>
    <row r="33" spans="2:42" x14ac:dyDescent="0.35">
      <c r="B33" s="4">
        <v>2031</v>
      </c>
      <c r="C33" s="66">
        <f t="shared" si="8"/>
        <v>2.7E-2</v>
      </c>
      <c r="D33" s="37">
        <f t="shared" si="9"/>
        <v>243.75471676781925</v>
      </c>
      <c r="E33" s="57">
        <f t="shared" si="0"/>
        <v>0.02</v>
      </c>
      <c r="F33" s="69">
        <f t="shared" si="29"/>
        <v>141.64992603469071</v>
      </c>
      <c r="G33" s="40">
        <f t="shared" si="1"/>
        <v>1720.8248785680453</v>
      </c>
      <c r="H33" s="70">
        <f t="shared" si="10"/>
        <v>1.7000000000000001E-2</v>
      </c>
      <c r="I33" s="42">
        <f t="shared" si="30"/>
        <v>1992.0139280067683</v>
      </c>
      <c r="J33" s="59">
        <f t="shared" si="2"/>
        <v>1E-3</v>
      </c>
      <c r="K33" s="60">
        <f t="shared" si="3"/>
        <v>6.0000000000000001E-3</v>
      </c>
      <c r="L33" s="60">
        <f t="shared" ref="L33:L52" si="36">IF($S$14&gt;B33,0,IF(B33&lt;2040,MIN($S$13,0.3%),$S$13))</f>
        <v>0</v>
      </c>
      <c r="M33" s="71">
        <f>IF(SUM($K$33:K33)&lt;4%,M32*(I33/I32-J33-K33-L33),M32*(I33/I32-J33-L33))</f>
        <v>11862.260635359758</v>
      </c>
      <c r="N33" s="62">
        <f t="shared" si="5"/>
        <v>-2E-3</v>
      </c>
      <c r="O33" s="47">
        <f t="shared" si="31"/>
        <v>2.4552605029652925</v>
      </c>
      <c r="P33" s="47">
        <f t="shared" si="11"/>
        <v>50.118921362684567</v>
      </c>
      <c r="Q33" s="64">
        <f t="shared" si="6"/>
        <v>0.56200000000000006</v>
      </c>
      <c r="R33" s="47">
        <f t="shared" si="12"/>
        <v>28.16683380582873</v>
      </c>
      <c r="S33" s="59">
        <f t="shared" si="35"/>
        <v>0</v>
      </c>
      <c r="T33" s="72">
        <f t="shared" si="32"/>
        <v>0.5544</v>
      </c>
      <c r="U33" s="66">
        <f t="shared" si="34"/>
        <v>0</v>
      </c>
      <c r="V33" s="73">
        <f>IF(SUM($U$20:U33)&lt;55%,V32*(1-U33),V32)</f>
        <v>2.52</v>
      </c>
      <c r="W33" s="47">
        <f t="shared" si="14"/>
        <v>112.87625878221444</v>
      </c>
      <c r="X33" s="47">
        <f t="shared" si="15"/>
        <v>63.436457435604517</v>
      </c>
      <c r="Y33" s="51">
        <f t="shared" si="33"/>
        <v>0</v>
      </c>
      <c r="Z33" s="74">
        <f>SUM($Y$21:Y33)*1.3*3.7/1000000</f>
        <v>0</v>
      </c>
      <c r="AA33" s="68">
        <f t="shared" si="16"/>
        <v>112.87625878221444</v>
      </c>
      <c r="AB33" s="68">
        <f t="shared" si="17"/>
        <v>63.436457435604517</v>
      </c>
      <c r="AC33" s="47">
        <f t="shared" si="18"/>
        <v>28.16683380582873</v>
      </c>
      <c r="AE33" s="4">
        <v>2031</v>
      </c>
      <c r="AF33" s="53">
        <f t="shared" si="19"/>
        <v>1.4138904684908309</v>
      </c>
      <c r="AG33" s="54">
        <f t="shared" si="20"/>
        <v>1.2936066304537963</v>
      </c>
      <c r="AH33" s="54">
        <f t="shared" si="21"/>
        <v>1.092983319044089</v>
      </c>
      <c r="AI33" s="55">
        <f t="shared" si="22"/>
        <v>1.2450087050042302</v>
      </c>
      <c r="AJ33" s="44">
        <f t="shared" si="23"/>
        <v>1.1653790213302693</v>
      </c>
      <c r="AK33" s="47">
        <f t="shared" si="24"/>
        <v>1.2589998628545218</v>
      </c>
      <c r="AL33" s="47">
        <f t="shared" si="25"/>
        <v>28.16683380582873</v>
      </c>
      <c r="AM33" s="47">
        <f t="shared" si="26"/>
        <v>6.3600960643857967</v>
      </c>
      <c r="AN33" s="47">
        <f t="shared" si="7"/>
        <v>28.909527565389986</v>
      </c>
      <c r="AO33" s="54">
        <f t="shared" si="27"/>
        <v>0</v>
      </c>
      <c r="AP33" s="47">
        <f t="shared" si="28"/>
        <v>49.439801346609919</v>
      </c>
    </row>
    <row r="34" spans="2:42" x14ac:dyDescent="0.35">
      <c r="B34" s="4">
        <v>2032</v>
      </c>
      <c r="C34" s="66">
        <f t="shared" si="8"/>
        <v>2.7E-2</v>
      </c>
      <c r="D34" s="37">
        <f t="shared" si="9"/>
        <v>250.33609412055034</v>
      </c>
      <c r="E34" s="57">
        <f t="shared" si="0"/>
        <v>0.02</v>
      </c>
      <c r="F34" s="69">
        <f t="shared" si="29"/>
        <v>144.48292455538453</v>
      </c>
      <c r="G34" s="40">
        <f t="shared" si="1"/>
        <v>1732.6344610680219</v>
      </c>
      <c r="H34" s="70">
        <f t="shared" si="10"/>
        <v>1.7000000000000001E-2</v>
      </c>
      <c r="I34" s="42">
        <f t="shared" si="30"/>
        <v>2025.8781647828832</v>
      </c>
      <c r="J34" s="59">
        <f t="shared" si="2"/>
        <v>1E-3</v>
      </c>
      <c r="K34" s="60">
        <f t="shared" si="3"/>
        <v>6.0000000000000001E-3</v>
      </c>
      <c r="L34" s="60">
        <f t="shared" si="36"/>
        <v>0</v>
      </c>
      <c r="M34" s="71">
        <f>IF(SUM($K$33:K34)&lt;4%,M33*(I34/I33-J34-K34-L34),M33*(I34/I33-J34-L34))</f>
        <v>11980.883241713356</v>
      </c>
      <c r="N34" s="62">
        <f t="shared" si="5"/>
        <v>-2E-3</v>
      </c>
      <c r="O34" s="47">
        <f t="shared" si="31"/>
        <v>2.4503499819593619</v>
      </c>
      <c r="P34" s="47">
        <f t="shared" si="11"/>
        <v>50.865568485047142</v>
      </c>
      <c r="Q34" s="64">
        <f t="shared" si="6"/>
        <v>0.56200000000000006</v>
      </c>
      <c r="R34" s="47">
        <f t="shared" si="12"/>
        <v>28.586449488596497</v>
      </c>
      <c r="S34" s="59">
        <f t="shared" si="35"/>
        <v>0</v>
      </c>
      <c r="T34" s="72">
        <f t="shared" si="32"/>
        <v>0.5544</v>
      </c>
      <c r="U34" s="66">
        <f t="shared" si="34"/>
        <v>0</v>
      </c>
      <c r="V34" s="73">
        <f>IF(SUM($U$20:U34)&lt;55%,V33*(1-U34),V33)</f>
        <v>2.52</v>
      </c>
      <c r="W34" s="47">
        <f t="shared" si="14"/>
        <v>114.68547376461157</v>
      </c>
      <c r="X34" s="47">
        <f t="shared" si="15"/>
        <v>64.453236255711715</v>
      </c>
      <c r="Y34" s="51">
        <f t="shared" si="33"/>
        <v>0</v>
      </c>
      <c r="Z34" s="74">
        <f>SUM($Y$21:Y34)*1.3*3.7/1000000</f>
        <v>0</v>
      </c>
      <c r="AA34" s="68">
        <f t="shared" si="16"/>
        <v>114.68547376461157</v>
      </c>
      <c r="AB34" s="68">
        <f t="shared" si="17"/>
        <v>64.453236255711715</v>
      </c>
      <c r="AC34" s="47">
        <f t="shared" si="18"/>
        <v>28.586449488596497</v>
      </c>
      <c r="AE34" s="4">
        <v>2032</v>
      </c>
      <c r="AF34" s="53">
        <f t="shared" si="19"/>
        <v>1.4520655111400831</v>
      </c>
      <c r="AG34" s="54">
        <f t="shared" si="20"/>
        <v>1.3194787630628724</v>
      </c>
      <c r="AH34" s="54">
        <f t="shared" si="21"/>
        <v>1.1004841849590974</v>
      </c>
      <c r="AI34" s="55">
        <f t="shared" si="22"/>
        <v>1.2661738529893021</v>
      </c>
      <c r="AJ34" s="44">
        <f t="shared" si="23"/>
        <v>1.177032811543572</v>
      </c>
      <c r="AK34" s="47">
        <f t="shared" si="24"/>
        <v>1.2791794953059055</v>
      </c>
      <c r="AL34" s="47">
        <f t="shared" si="25"/>
        <v>28.586449488596497</v>
      </c>
      <c r="AM34" s="47">
        <f t="shared" si="26"/>
        <v>6.4677812202994662</v>
      </c>
      <c r="AN34" s="47">
        <f t="shared" si="7"/>
        <v>29.399005546815758</v>
      </c>
      <c r="AO34" s="54">
        <f t="shared" si="27"/>
        <v>0</v>
      </c>
      <c r="AP34" s="47">
        <f t="shared" si="28"/>
        <v>50.232237508899857</v>
      </c>
    </row>
    <row r="35" spans="2:42" x14ac:dyDescent="0.35">
      <c r="B35" s="4">
        <v>2033</v>
      </c>
      <c r="C35" s="66">
        <f t="shared" si="8"/>
        <v>2.7E-2</v>
      </c>
      <c r="D35" s="37">
        <f t="shared" si="9"/>
        <v>257.09516866180519</v>
      </c>
      <c r="E35" s="57">
        <f t="shared" si="0"/>
        <v>0.02</v>
      </c>
      <c r="F35" s="69">
        <f t="shared" si="29"/>
        <v>147.37258304649222</v>
      </c>
      <c r="G35" s="40">
        <f t="shared" si="1"/>
        <v>1744.52508972241</v>
      </c>
      <c r="H35" s="70">
        <f t="shared" si="10"/>
        <v>1.7000000000000001E-2</v>
      </c>
      <c r="I35" s="42">
        <f t="shared" si="30"/>
        <v>2060.318093584192</v>
      </c>
      <c r="J35" s="59">
        <f t="shared" si="2"/>
        <v>1E-3</v>
      </c>
      <c r="K35" s="60">
        <f t="shared" si="3"/>
        <v>6.0000000000000001E-3</v>
      </c>
      <c r="L35" s="60">
        <f t="shared" si="36"/>
        <v>0</v>
      </c>
      <c r="M35" s="71">
        <f>IF(SUM($K$33:K35)&lt;4%,M34*(I35/I34-J35-K35-L35),M34*(I35/I34-J35-L35))</f>
        <v>12100.692074130489</v>
      </c>
      <c r="N35" s="62">
        <f t="shared" si="5"/>
        <v>-2E-3</v>
      </c>
      <c r="O35" s="47">
        <f t="shared" si="31"/>
        <v>2.4454492819954434</v>
      </c>
      <c r="P35" s="47">
        <f t="shared" si="11"/>
        <v>51.623338790235167</v>
      </c>
      <c r="Q35" s="64">
        <f t="shared" si="6"/>
        <v>0.56200000000000006</v>
      </c>
      <c r="R35" s="47">
        <f t="shared" si="12"/>
        <v>29.012316400112166</v>
      </c>
      <c r="S35" s="59">
        <f t="shared" si="35"/>
        <v>0</v>
      </c>
      <c r="T35" s="72">
        <f t="shared" si="32"/>
        <v>0.5544</v>
      </c>
      <c r="U35" s="66">
        <f t="shared" si="34"/>
        <v>0</v>
      </c>
      <c r="V35" s="73">
        <f>IF(SUM($U$20:U35)&lt;55%,V34*(1-U35),V34)</f>
        <v>2.52</v>
      </c>
      <c r="W35" s="47">
        <f t="shared" si="14"/>
        <v>116.52380266213105</v>
      </c>
      <c r="X35" s="47">
        <f t="shared" si="15"/>
        <v>65.48637709611765</v>
      </c>
      <c r="Y35" s="51">
        <f t="shared" si="33"/>
        <v>0</v>
      </c>
      <c r="Z35" s="74">
        <f>SUM($Y$21:Y35)*1.3*3.7/1000000</f>
        <v>0</v>
      </c>
      <c r="AA35" s="68">
        <f t="shared" si="16"/>
        <v>116.52380266213105</v>
      </c>
      <c r="AB35" s="68">
        <f t="shared" si="17"/>
        <v>65.48637709611765</v>
      </c>
      <c r="AC35" s="47">
        <f t="shared" si="18"/>
        <v>29.012316400112166</v>
      </c>
      <c r="AE35" s="4">
        <v>2033</v>
      </c>
      <c r="AF35" s="53">
        <f t="shared" si="19"/>
        <v>1.4912712799408654</v>
      </c>
      <c r="AG35" s="54">
        <f t="shared" si="20"/>
        <v>1.3458683383241299</v>
      </c>
      <c r="AH35" s="54">
        <f t="shared" si="21"/>
        <v>1.1080365274048949</v>
      </c>
      <c r="AI35" s="55">
        <f t="shared" si="22"/>
        <v>1.28769880849012</v>
      </c>
      <c r="AJ35" s="44">
        <f t="shared" si="23"/>
        <v>1.1888031396590075</v>
      </c>
      <c r="AK35" s="47">
        <f t="shared" si="24"/>
        <v>1.2996838587108273</v>
      </c>
      <c r="AL35" s="47">
        <f t="shared" si="25"/>
        <v>29.012316400112166</v>
      </c>
      <c r="AM35" s="47">
        <f t="shared" si="26"/>
        <v>6.5772896337059086</v>
      </c>
      <c r="AN35" s="47">
        <f t="shared" si="7"/>
        <v>29.896771062299582</v>
      </c>
      <c r="AO35" s="54">
        <f t="shared" si="27"/>
        <v>0</v>
      </c>
      <c r="AP35" s="47">
        <f t="shared" si="28"/>
        <v>51.037425566013397</v>
      </c>
    </row>
    <row r="36" spans="2:42" x14ac:dyDescent="0.35">
      <c r="B36" s="4">
        <v>2034</v>
      </c>
      <c r="C36" s="66">
        <f t="shared" si="8"/>
        <v>2.7E-2</v>
      </c>
      <c r="D36" s="37">
        <f t="shared" si="9"/>
        <v>264.03673821567389</v>
      </c>
      <c r="E36" s="57">
        <f t="shared" si="0"/>
        <v>0.02</v>
      </c>
      <c r="F36" s="69">
        <f t="shared" si="29"/>
        <v>150.32003470742208</v>
      </c>
      <c r="G36" s="40">
        <f t="shared" si="1"/>
        <v>1756.4973207303087</v>
      </c>
      <c r="H36" s="70">
        <f t="shared" si="10"/>
        <v>1.7000000000000001E-2</v>
      </c>
      <c r="I36" s="42">
        <f t="shared" si="30"/>
        <v>2095.343501175123</v>
      </c>
      <c r="J36" s="59">
        <f t="shared" si="2"/>
        <v>1E-3</v>
      </c>
      <c r="K36" s="60">
        <f t="shared" si="3"/>
        <v>6.0000000000000001E-3</v>
      </c>
      <c r="L36" s="60">
        <f t="shared" si="36"/>
        <v>0</v>
      </c>
      <c r="M36" s="71">
        <f>IF(SUM($K$33:K36)&lt;4%,M35*(I36/I35-J36-K36-L36),M35*(I36/I35-J36-L36))</f>
        <v>12221.698994871795</v>
      </c>
      <c r="N36" s="62">
        <f t="shared" si="5"/>
        <v>-2E-3</v>
      </c>
      <c r="O36" s="47">
        <f t="shared" si="31"/>
        <v>2.4405583834314526</v>
      </c>
      <c r="P36" s="47">
        <f t="shared" si="11"/>
        <v>52.392397985973858</v>
      </c>
      <c r="Q36" s="64">
        <f t="shared" si="6"/>
        <v>0.56200000000000006</v>
      </c>
      <c r="R36" s="47">
        <f t="shared" si="12"/>
        <v>29.44452766811731</v>
      </c>
      <c r="S36" s="59">
        <f t="shared" si="35"/>
        <v>0</v>
      </c>
      <c r="T36" s="72">
        <f t="shared" si="32"/>
        <v>0.5544</v>
      </c>
      <c r="U36" s="66">
        <f t="shared" si="34"/>
        <v>0</v>
      </c>
      <c r="V36" s="73">
        <f>IF(SUM($U$20:U36)&lt;55%,V35*(1-U36),V35)</f>
        <v>2.52</v>
      </c>
      <c r="W36" s="47">
        <f t="shared" si="14"/>
        <v>118.39171579028898</v>
      </c>
      <c r="X36" s="47">
        <f t="shared" si="15"/>
        <v>66.536144274142416</v>
      </c>
      <c r="Y36" s="51">
        <f t="shared" si="33"/>
        <v>0</v>
      </c>
      <c r="Z36" s="74">
        <f>SUM($Y$21:Y36)*1.3*3.7/1000000</f>
        <v>0</v>
      </c>
      <c r="AA36" s="68">
        <f t="shared" si="16"/>
        <v>118.39171579028898</v>
      </c>
      <c r="AB36" s="68">
        <f t="shared" si="17"/>
        <v>66.536144274142416</v>
      </c>
      <c r="AC36" s="47">
        <f t="shared" si="18"/>
        <v>29.44452766811731</v>
      </c>
      <c r="AE36" s="4">
        <v>2034</v>
      </c>
      <c r="AF36" s="53">
        <f t="shared" si="19"/>
        <v>1.5315356044992685</v>
      </c>
      <c r="AG36" s="54">
        <f t="shared" si="20"/>
        <v>1.3727857050906127</v>
      </c>
      <c r="AH36" s="54">
        <f t="shared" si="21"/>
        <v>1.1156406996517911</v>
      </c>
      <c r="AI36" s="55">
        <f t="shared" si="22"/>
        <v>1.309589688234452</v>
      </c>
      <c r="AJ36" s="44">
        <f t="shared" si="23"/>
        <v>1.2006911710555976</v>
      </c>
      <c r="AK36" s="47">
        <f t="shared" si="24"/>
        <v>1.3205181988771897</v>
      </c>
      <c r="AL36" s="47">
        <f t="shared" si="25"/>
        <v>29.44452766811731</v>
      </c>
      <c r="AM36" s="47">
        <f t="shared" si="26"/>
        <v>6.6886521748569869</v>
      </c>
      <c r="AN36" s="47">
        <f t="shared" si="7"/>
        <v>30.402964431168122</v>
      </c>
      <c r="AO36" s="54">
        <f t="shared" si="27"/>
        <v>0</v>
      </c>
      <c r="AP36" s="47">
        <f t="shared" si="28"/>
        <v>51.855571516146568</v>
      </c>
    </row>
    <row r="37" spans="2:42" x14ac:dyDescent="0.35">
      <c r="B37" s="4">
        <v>2035</v>
      </c>
      <c r="C37" s="66">
        <f t="shared" si="8"/>
        <v>2.7E-2</v>
      </c>
      <c r="D37" s="37">
        <f t="shared" si="9"/>
        <v>271.16573014749707</v>
      </c>
      <c r="E37" s="57">
        <f t="shared" si="0"/>
        <v>0.02</v>
      </c>
      <c r="F37" s="69">
        <f t="shared" si="29"/>
        <v>153.32643540157054</v>
      </c>
      <c r="G37" s="40">
        <f t="shared" si="1"/>
        <v>1768.5517141078692</v>
      </c>
      <c r="H37" s="70">
        <f t="shared" si="10"/>
        <v>1.7000000000000001E-2</v>
      </c>
      <c r="I37" s="42">
        <f t="shared" si="30"/>
        <v>2130.9643406951</v>
      </c>
      <c r="J37" s="59">
        <f t="shared" si="2"/>
        <v>1E-3</v>
      </c>
      <c r="K37" s="60">
        <f t="shared" si="3"/>
        <v>6.0000000000000001E-3</v>
      </c>
      <c r="L37" s="60">
        <f t="shared" si="36"/>
        <v>0</v>
      </c>
      <c r="M37" s="71">
        <f>IF(SUM($K$33:K37)&lt;4%,M36*(I37/I36-J37-K37-L37),M36*(I37/I36-J37-L37))</f>
        <v>12343.915984820513</v>
      </c>
      <c r="N37" s="62">
        <f t="shared" si="5"/>
        <v>-2E-3</v>
      </c>
      <c r="O37" s="47">
        <f t="shared" si="31"/>
        <v>2.4356772666645896</v>
      </c>
      <c r="P37" s="47">
        <f t="shared" si="11"/>
        <v>53.172914248620856</v>
      </c>
      <c r="Q37" s="64">
        <f t="shared" si="6"/>
        <v>0.56200000000000006</v>
      </c>
      <c r="R37" s="47">
        <f t="shared" si="12"/>
        <v>29.883177807724923</v>
      </c>
      <c r="S37" s="59">
        <f t="shared" si="35"/>
        <v>0</v>
      </c>
      <c r="T37" s="72">
        <f t="shared" si="32"/>
        <v>0.5544</v>
      </c>
      <c r="U37" s="66">
        <f t="shared" si="34"/>
        <v>0</v>
      </c>
      <c r="V37" s="73">
        <f>IF(SUM($U$20:U37)&lt;55%,V36*(1-U37),V36)</f>
        <v>2.52</v>
      </c>
      <c r="W37" s="47">
        <f t="shared" si="14"/>
        <v>120.28969109066198</v>
      </c>
      <c r="X37" s="47">
        <f t="shared" si="15"/>
        <v>67.602806392952033</v>
      </c>
      <c r="Y37" s="51">
        <f t="shared" si="33"/>
        <v>0</v>
      </c>
      <c r="Z37" s="74">
        <f>SUM($Y$21:Y37)*1.3*3.7/1000000</f>
        <v>0</v>
      </c>
      <c r="AA37" s="68">
        <f t="shared" si="16"/>
        <v>120.28969109066198</v>
      </c>
      <c r="AB37" s="68">
        <f t="shared" si="17"/>
        <v>67.602806392952033</v>
      </c>
      <c r="AC37" s="47">
        <f t="shared" si="18"/>
        <v>29.883177807724923</v>
      </c>
      <c r="AE37" s="4">
        <v>2035</v>
      </c>
      <c r="AF37" s="53">
        <f t="shared" si="19"/>
        <v>1.5728870658207486</v>
      </c>
      <c r="AG37" s="54">
        <f t="shared" si="20"/>
        <v>1.4002414191924251</v>
      </c>
      <c r="AH37" s="54">
        <f t="shared" si="21"/>
        <v>1.1232970573944991</v>
      </c>
      <c r="AI37" s="55">
        <f t="shared" si="22"/>
        <v>1.3318527129344375</v>
      </c>
      <c r="AJ37" s="44">
        <f t="shared" si="23"/>
        <v>1.2126980827661538</v>
      </c>
      <c r="AK37" s="47">
        <f t="shared" si="24"/>
        <v>1.3416878466724917</v>
      </c>
      <c r="AL37" s="47">
        <f t="shared" si="25"/>
        <v>29.883177807724923</v>
      </c>
      <c r="AM37" s="47">
        <f t="shared" si="26"/>
        <v>6.8019002366802992</v>
      </c>
      <c r="AN37" s="47">
        <f t="shared" si="7"/>
        <v>30.917728348546813</v>
      </c>
      <c r="AO37" s="54">
        <f t="shared" si="27"/>
        <v>0</v>
      </c>
      <c r="AP37" s="47">
        <f t="shared" si="28"/>
        <v>52.686884697709942</v>
      </c>
    </row>
    <row r="38" spans="2:42" x14ac:dyDescent="0.35">
      <c r="B38" s="4">
        <v>2036</v>
      </c>
      <c r="C38" s="66">
        <f t="shared" si="8"/>
        <v>2.7E-2</v>
      </c>
      <c r="D38" s="37">
        <f t="shared" si="9"/>
        <v>278.48720486147948</v>
      </c>
      <c r="E38" s="57">
        <f t="shared" si="0"/>
        <v>0.02</v>
      </c>
      <c r="F38" s="69">
        <f t="shared" si="29"/>
        <v>156.39296410960196</v>
      </c>
      <c r="G38" s="40">
        <f t="shared" si="1"/>
        <v>1780.6888337144917</v>
      </c>
      <c r="H38" s="70">
        <f t="shared" si="10"/>
        <v>1.7000000000000001E-2</v>
      </c>
      <c r="I38" s="42">
        <f t="shared" si="30"/>
        <v>2167.1907344869164</v>
      </c>
      <c r="J38" s="59">
        <f t="shared" si="2"/>
        <v>1E-3</v>
      </c>
      <c r="K38" s="60">
        <f t="shared" si="3"/>
        <v>6.0000000000000001E-3</v>
      </c>
      <c r="L38" s="60">
        <f t="shared" si="36"/>
        <v>0</v>
      </c>
      <c r="M38" s="71">
        <f>IF(SUM($K$33:K38)&lt;4%,M37*(I38/I37-J38-K38-L38),M37*(I38/I37-J38-L38))</f>
        <v>12467.355144668718</v>
      </c>
      <c r="N38" s="62">
        <f t="shared" si="5"/>
        <v>-2E-3</v>
      </c>
      <c r="O38" s="47">
        <f t="shared" si="31"/>
        <v>2.4308059121312606</v>
      </c>
      <c r="P38" s="47">
        <f t="shared" si="11"/>
        <v>53.965058259942758</v>
      </c>
      <c r="Q38" s="64">
        <f t="shared" si="6"/>
        <v>0.56200000000000006</v>
      </c>
      <c r="R38" s="47">
        <f t="shared" si="12"/>
        <v>30.328362742087833</v>
      </c>
      <c r="S38" s="59">
        <f t="shared" si="35"/>
        <v>0</v>
      </c>
      <c r="T38" s="72">
        <f t="shared" si="32"/>
        <v>0.5544</v>
      </c>
      <c r="U38" s="66">
        <f t="shared" si="34"/>
        <v>0</v>
      </c>
      <c r="V38" s="73">
        <f>IF(SUM($U$20:U38)&lt;55%,V37*(1-U38),V37)</f>
        <v>2.52</v>
      </c>
      <c r="W38" s="47">
        <f t="shared" si="14"/>
        <v>122.2182142549859</v>
      </c>
      <c r="X38" s="47">
        <f t="shared" si="15"/>
        <v>68.686636411302075</v>
      </c>
      <c r="Y38" s="51">
        <f t="shared" si="33"/>
        <v>0</v>
      </c>
      <c r="Z38" s="74">
        <f>SUM($Y$21:Y38)*1.3*3.7/1000000</f>
        <v>0</v>
      </c>
      <c r="AA38" s="68">
        <f t="shared" si="16"/>
        <v>122.2182142549859</v>
      </c>
      <c r="AB38" s="68">
        <f t="shared" si="17"/>
        <v>68.686636411302075</v>
      </c>
      <c r="AC38" s="47">
        <f t="shared" si="18"/>
        <v>30.328362742087833</v>
      </c>
      <c r="AE38" s="4">
        <v>2036</v>
      </c>
      <c r="AF38" s="53">
        <f t="shared" si="19"/>
        <v>1.6153550165979087</v>
      </c>
      <c r="AG38" s="54">
        <f t="shared" si="20"/>
        <v>1.4282462475762736</v>
      </c>
      <c r="AH38" s="54">
        <f t="shared" si="21"/>
        <v>1.1310059587687751</v>
      </c>
      <c r="AI38" s="55">
        <f t="shared" si="22"/>
        <v>1.3544942090543228</v>
      </c>
      <c r="AJ38" s="44">
        <f t="shared" si="23"/>
        <v>1.2248250635938152</v>
      </c>
      <c r="AK38" s="47">
        <f t="shared" si="24"/>
        <v>1.3631982194080041</v>
      </c>
      <c r="AL38" s="47">
        <f t="shared" si="25"/>
        <v>30.328362742087833</v>
      </c>
      <c r="AM38" s="47">
        <f t="shared" si="26"/>
        <v>6.9170657436287968</v>
      </c>
      <c r="AN38" s="47">
        <f t="shared" si="7"/>
        <v>31.441207925585442</v>
      </c>
      <c r="AO38" s="54">
        <f t="shared" si="27"/>
        <v>0</v>
      </c>
      <c r="AP38" s="47">
        <f t="shared" si="28"/>
        <v>53.53157784368382</v>
      </c>
    </row>
    <row r="39" spans="2:42" x14ac:dyDescent="0.35">
      <c r="B39" s="4">
        <v>2037</v>
      </c>
      <c r="C39" s="66">
        <f t="shared" si="8"/>
        <v>2.7E-2</v>
      </c>
      <c r="D39" s="37">
        <f t="shared" si="9"/>
        <v>286.0063593927394</v>
      </c>
      <c r="E39" s="57">
        <f t="shared" si="0"/>
        <v>0.02</v>
      </c>
      <c r="F39" s="69">
        <f t="shared" si="29"/>
        <v>159.52082339179401</v>
      </c>
      <c r="G39" s="40">
        <f t="shared" si="1"/>
        <v>1792.9092472791988</v>
      </c>
      <c r="H39" s="70">
        <f t="shared" si="10"/>
        <v>1.7000000000000001E-2</v>
      </c>
      <c r="I39" s="42">
        <f t="shared" si="30"/>
        <v>2204.0329769731939</v>
      </c>
      <c r="J39" s="59">
        <f t="shared" si="2"/>
        <v>1E-3</v>
      </c>
      <c r="K39" s="60">
        <f t="shared" si="3"/>
        <v>6.0000000000000001E-3</v>
      </c>
      <c r="L39" s="60">
        <f t="shared" si="36"/>
        <v>0</v>
      </c>
      <c r="M39" s="71">
        <f>IF(SUM($K$33:K39)&lt;4%,M38*(I39/I38-J39-K39-L39),M38*(I39/I38-J39-L39))</f>
        <v>12666.832826983418</v>
      </c>
      <c r="N39" s="62">
        <f t="shared" si="5"/>
        <v>-2E-3</v>
      </c>
      <c r="O39" s="47">
        <f t="shared" si="31"/>
        <v>2.4259443003069983</v>
      </c>
      <c r="P39" s="47">
        <f t="shared" si="11"/>
        <v>55.094363659752958</v>
      </c>
      <c r="Q39" s="64">
        <f t="shared" si="6"/>
        <v>0.56200000000000006</v>
      </c>
      <c r="R39" s="47">
        <f t="shared" si="12"/>
        <v>30.963032376781165</v>
      </c>
      <c r="S39" s="59">
        <f t="shared" si="35"/>
        <v>0</v>
      </c>
      <c r="T39" s="72">
        <f t="shared" si="32"/>
        <v>0.5544</v>
      </c>
      <c r="U39" s="66">
        <f t="shared" si="34"/>
        <v>0</v>
      </c>
      <c r="V39" s="73">
        <f>IF(SUM($U$20:U39)&lt;55%,V38*(1-U39),V38)</f>
        <v>2.52</v>
      </c>
      <c r="W39" s="47">
        <f t="shared" si="14"/>
        <v>124.91546862663516</v>
      </c>
      <c r="X39" s="47">
        <f t="shared" si="15"/>
        <v>70.202493368168973</v>
      </c>
      <c r="Y39" s="51">
        <f t="shared" si="33"/>
        <v>0</v>
      </c>
      <c r="Z39" s="74">
        <f>SUM($Y$21:Y39)*1.3*3.7/1000000</f>
        <v>0</v>
      </c>
      <c r="AA39" s="68">
        <f t="shared" si="16"/>
        <v>124.91546862663516</v>
      </c>
      <c r="AB39" s="68">
        <f t="shared" si="17"/>
        <v>70.202493368168973</v>
      </c>
      <c r="AC39" s="47">
        <f t="shared" si="18"/>
        <v>30.963032376781165</v>
      </c>
      <c r="AE39" s="4">
        <v>2037</v>
      </c>
      <c r="AF39" s="53">
        <f t="shared" si="19"/>
        <v>1.658969602046052</v>
      </c>
      <c r="AG39" s="54">
        <f t="shared" si="20"/>
        <v>1.4568111725277992</v>
      </c>
      <c r="AH39" s="54">
        <f t="shared" si="21"/>
        <v>1.1387677643681686</v>
      </c>
      <c r="AI39" s="55">
        <f t="shared" si="22"/>
        <v>1.3775206106082463</v>
      </c>
      <c r="AJ39" s="44">
        <f t="shared" si="23"/>
        <v>1.2444222646113163</v>
      </c>
      <c r="AK39" s="47">
        <f t="shared" si="24"/>
        <v>1.3932828706945266</v>
      </c>
      <c r="AL39" s="47">
        <f t="shared" si="25"/>
        <v>30.963032376781165</v>
      </c>
      <c r="AM39" s="47">
        <f t="shared" si="26"/>
        <v>7.07596837549616</v>
      </c>
      <c r="AN39" s="47">
        <f t="shared" si="7"/>
        <v>32.163492615891641</v>
      </c>
      <c r="AO39" s="54">
        <f t="shared" si="27"/>
        <v>0</v>
      </c>
      <c r="AP39" s="47">
        <f t="shared" si="28"/>
        <v>54.712975258466187</v>
      </c>
    </row>
    <row r="40" spans="2:42" x14ac:dyDescent="0.35">
      <c r="B40" s="4">
        <v>2038</v>
      </c>
      <c r="C40" s="66">
        <f t="shared" si="8"/>
        <v>2.7E-2</v>
      </c>
      <c r="D40" s="37">
        <f t="shared" si="9"/>
        <v>293.72853109634332</v>
      </c>
      <c r="E40" s="57">
        <f t="shared" si="0"/>
        <v>0.02</v>
      </c>
      <c r="F40" s="69">
        <f t="shared" si="29"/>
        <v>162.7112398596299</v>
      </c>
      <c r="G40" s="40">
        <f t="shared" si="1"/>
        <v>1805.2135264271928</v>
      </c>
      <c r="H40" s="70">
        <f t="shared" si="10"/>
        <v>1.7000000000000001E-2</v>
      </c>
      <c r="I40" s="42">
        <f t="shared" si="30"/>
        <v>2241.5015375817379</v>
      </c>
      <c r="J40" s="59">
        <f t="shared" si="2"/>
        <v>1E-3</v>
      </c>
      <c r="K40" s="60">
        <f t="shared" si="3"/>
        <v>6.0000000000000001E-3</v>
      </c>
      <c r="L40" s="60">
        <f t="shared" si="36"/>
        <v>0</v>
      </c>
      <c r="M40" s="71">
        <f>IF(SUM($K$33:K40)&lt;4%,M39*(I40/I39-J40-K40-L40),M39*(I40/I39-J40-L40))</f>
        <v>12869.502152215153</v>
      </c>
      <c r="N40" s="62">
        <f t="shared" si="5"/>
        <v>-2E-3</v>
      </c>
      <c r="O40" s="47">
        <f t="shared" si="31"/>
        <v>2.4210924117063843</v>
      </c>
      <c r="P40" s="47">
        <f t="shared" si="11"/>
        <v>56.247301586371449</v>
      </c>
      <c r="Q40" s="64">
        <f t="shared" si="6"/>
        <v>0.56200000000000006</v>
      </c>
      <c r="R40" s="47">
        <f t="shared" si="12"/>
        <v>31.610983491540757</v>
      </c>
      <c r="S40" s="59">
        <f t="shared" si="35"/>
        <v>0</v>
      </c>
      <c r="T40" s="72">
        <f t="shared" si="32"/>
        <v>0.5544</v>
      </c>
      <c r="U40" s="66">
        <f t="shared" si="34"/>
        <v>0</v>
      </c>
      <c r="V40" s="73">
        <f>IF(SUM($U$20:U40)&lt;55%,V39*(1-U40),V39)</f>
        <v>2.52</v>
      </c>
      <c r="W40" s="47">
        <f t="shared" si="14"/>
        <v>127.67237530970851</v>
      </c>
      <c r="X40" s="47">
        <f t="shared" si="15"/>
        <v>71.751874924056196</v>
      </c>
      <c r="Y40" s="51">
        <f t="shared" si="33"/>
        <v>0</v>
      </c>
      <c r="Z40" s="74">
        <f>SUM($Y$21:Y40)*1.3*3.7/1000000</f>
        <v>0</v>
      </c>
      <c r="AA40" s="68">
        <f t="shared" si="16"/>
        <v>127.67237530970851</v>
      </c>
      <c r="AB40" s="68">
        <f t="shared" si="17"/>
        <v>71.751874924056196</v>
      </c>
      <c r="AC40" s="47">
        <f t="shared" si="18"/>
        <v>31.610983491540757</v>
      </c>
      <c r="AE40" s="4">
        <v>2038</v>
      </c>
      <c r="AF40" s="53">
        <f t="shared" si="19"/>
        <v>1.7037617813012953</v>
      </c>
      <c r="AG40" s="54">
        <f t="shared" si="20"/>
        <v>1.4859473959783553</v>
      </c>
      <c r="AH40" s="54">
        <f t="shared" si="21"/>
        <v>1.1465828372608911</v>
      </c>
      <c r="AI40" s="55">
        <f t="shared" si="22"/>
        <v>1.4009384609885862</v>
      </c>
      <c r="AJ40" s="44">
        <f t="shared" si="23"/>
        <v>1.2643330208450974</v>
      </c>
      <c r="AK40" s="47">
        <f t="shared" si="24"/>
        <v>1.4240328722744777</v>
      </c>
      <c r="AL40" s="47">
        <f t="shared" si="25"/>
        <v>31.610983491540757</v>
      </c>
      <c r="AM40" s="47">
        <f t="shared" si="26"/>
        <v>7.2385214058634366</v>
      </c>
      <c r="AN40" s="47">
        <f t="shared" si="7"/>
        <v>32.902370026651987</v>
      </c>
      <c r="AO40" s="54">
        <f t="shared" si="27"/>
        <v>0</v>
      </c>
      <c r="AP40" s="47">
        <f t="shared" si="28"/>
        <v>55.920500385652318</v>
      </c>
    </row>
    <row r="41" spans="2:42" x14ac:dyDescent="0.35">
      <c r="B41" s="4">
        <v>2039</v>
      </c>
      <c r="C41" s="66">
        <f t="shared" si="8"/>
        <v>2.7E-2</v>
      </c>
      <c r="D41" s="37">
        <f t="shared" si="9"/>
        <v>301.65920143594457</v>
      </c>
      <c r="E41" s="57">
        <f t="shared" si="0"/>
        <v>0.02</v>
      </c>
      <c r="F41" s="69">
        <f t="shared" si="29"/>
        <v>165.96546465682249</v>
      </c>
      <c r="G41" s="40">
        <f t="shared" si="1"/>
        <v>1817.602246706595</v>
      </c>
      <c r="H41" s="70">
        <f t="shared" si="10"/>
        <v>1.7000000000000001E-2</v>
      </c>
      <c r="I41" s="42">
        <f t="shared" si="30"/>
        <v>2279.6070637206271</v>
      </c>
      <c r="J41" s="59">
        <f t="shared" si="2"/>
        <v>1E-3</v>
      </c>
      <c r="K41" s="60">
        <f t="shared" si="3"/>
        <v>6.0000000000000001E-3</v>
      </c>
      <c r="L41" s="60">
        <f t="shared" si="36"/>
        <v>0</v>
      </c>
      <c r="M41" s="71">
        <f>IF(SUM($K$33:K41)&lt;4%,M40*(I41/I40-J41-K41-L41),M40*(I41/I40-J41-L41))</f>
        <v>13075.414186650596</v>
      </c>
      <c r="N41" s="62">
        <f t="shared" si="5"/>
        <v>-2E-3</v>
      </c>
      <c r="O41" s="47">
        <f t="shared" si="31"/>
        <v>2.4162502268829718</v>
      </c>
      <c r="P41" s="47">
        <f t="shared" si="11"/>
        <v>57.424366588326478</v>
      </c>
      <c r="Q41" s="64">
        <f t="shared" si="6"/>
        <v>0.56200000000000006</v>
      </c>
      <c r="R41" s="47">
        <f t="shared" si="12"/>
        <v>32.272494022639485</v>
      </c>
      <c r="S41" s="59">
        <f t="shared" si="35"/>
        <v>0</v>
      </c>
      <c r="T41" s="72">
        <f t="shared" si="32"/>
        <v>0.5544</v>
      </c>
      <c r="U41" s="66">
        <f t="shared" si="34"/>
        <v>0</v>
      </c>
      <c r="V41" s="73">
        <f>IF(SUM($U$20:U41)&lt;55%,V40*(1-U41),V40)</f>
        <v>2.52</v>
      </c>
      <c r="W41" s="47">
        <f t="shared" si="14"/>
        <v>130.49025631900199</v>
      </c>
      <c r="X41" s="47">
        <f t="shared" si="15"/>
        <v>73.335524051279123</v>
      </c>
      <c r="Y41" s="51">
        <f t="shared" si="33"/>
        <v>0</v>
      </c>
      <c r="Z41" s="74">
        <f>SUM($Y$21:Y41)*1.3*3.7/1000000</f>
        <v>0</v>
      </c>
      <c r="AA41" s="68">
        <f t="shared" si="16"/>
        <v>130.49025631900199</v>
      </c>
      <c r="AB41" s="68">
        <f t="shared" si="17"/>
        <v>73.335524051279123</v>
      </c>
      <c r="AC41" s="47">
        <f t="shared" si="18"/>
        <v>32.272494022639485</v>
      </c>
      <c r="AE41" s="4">
        <v>2039</v>
      </c>
      <c r="AF41" s="53">
        <f t="shared" si="19"/>
        <v>1.7497633493964302</v>
      </c>
      <c r="AG41" s="54">
        <f t="shared" si="20"/>
        <v>1.5156663438979223</v>
      </c>
      <c r="AH41" s="54">
        <f t="shared" si="21"/>
        <v>1.154451543006799</v>
      </c>
      <c r="AI41" s="55">
        <f t="shared" si="22"/>
        <v>1.4247544148253919</v>
      </c>
      <c r="AJ41" s="44">
        <f t="shared" si="23"/>
        <v>1.2845623491786191</v>
      </c>
      <c r="AK41" s="47">
        <f t="shared" si="24"/>
        <v>1.4554629696440748</v>
      </c>
      <c r="AL41" s="47">
        <f t="shared" si="25"/>
        <v>32.272494022639485</v>
      </c>
      <c r="AM41" s="47">
        <f t="shared" si="26"/>
        <v>7.404808693689116</v>
      </c>
      <c r="AN41" s="47">
        <f t="shared" si="7"/>
        <v>33.658221334950532</v>
      </c>
      <c r="AO41" s="54">
        <f t="shared" si="27"/>
        <v>0</v>
      </c>
      <c r="AP41" s="47">
        <f t="shared" si="28"/>
        <v>57.154732267722864</v>
      </c>
    </row>
    <row r="42" spans="2:42" x14ac:dyDescent="0.35">
      <c r="B42" s="4">
        <v>2040</v>
      </c>
      <c r="C42" s="66">
        <f t="shared" si="8"/>
        <v>2.7E-2</v>
      </c>
      <c r="D42" s="37">
        <f t="shared" si="9"/>
        <v>309.80399987471503</v>
      </c>
      <c r="E42" s="57">
        <f t="shared" si="0"/>
        <v>0.02</v>
      </c>
      <c r="F42" s="69">
        <f t="shared" si="29"/>
        <v>169.28477394995895</v>
      </c>
      <c r="G42" s="40">
        <f t="shared" si="1"/>
        <v>1830.0759876153656</v>
      </c>
      <c r="H42" s="70">
        <f t="shared" si="10"/>
        <v>1.7000000000000001E-2</v>
      </c>
      <c r="I42" s="42">
        <f t="shared" si="30"/>
        <v>2318.3603838038775</v>
      </c>
      <c r="J42" s="59">
        <f t="shared" si="2"/>
        <v>1E-3</v>
      </c>
      <c r="K42" s="60">
        <f t="shared" si="3"/>
        <v>6.0000000000000001E-3</v>
      </c>
      <c r="L42" s="60">
        <f t="shared" si="36"/>
        <v>8.9999999999999993E-3</v>
      </c>
      <c r="M42" s="71">
        <f>IF(SUM($K$33:K42)&lt;4%,M41*(I42/I41-J42-K42-L42),M41*(I42/I41-J42-L42))</f>
        <v>13166.942085957151</v>
      </c>
      <c r="N42" s="62">
        <f t="shared" si="5"/>
        <v>-2E-3</v>
      </c>
      <c r="O42" s="47">
        <f t="shared" si="31"/>
        <v>2.4114177264292058</v>
      </c>
      <c r="P42" s="47">
        <f t="shared" si="11"/>
        <v>58.106738197156417</v>
      </c>
      <c r="Q42" s="64">
        <f t="shared" si="6"/>
        <v>0.56200000000000006</v>
      </c>
      <c r="R42" s="47">
        <f t="shared" si="12"/>
        <v>32.655986866801911</v>
      </c>
      <c r="S42" s="59">
        <f t="shared" si="35"/>
        <v>0</v>
      </c>
      <c r="T42" s="72">
        <f t="shared" si="32"/>
        <v>0.5544</v>
      </c>
      <c r="U42" s="66">
        <f t="shared" si="34"/>
        <v>0</v>
      </c>
      <c r="V42" s="73">
        <f>IF(SUM($U$20:U42)&lt;55%,V41*(1-U42),V41)</f>
        <v>2.52</v>
      </c>
      <c r="W42" s="47">
        <f t="shared" si="14"/>
        <v>132.18903176056583</v>
      </c>
      <c r="X42" s="47">
        <f t="shared" si="15"/>
        <v>74.290235849438005</v>
      </c>
      <c r="Y42" s="51">
        <f t="shared" si="33"/>
        <v>0</v>
      </c>
      <c r="Z42" s="74">
        <f>SUM($Y$21:Y42)*1.3*3.7/1000000</f>
        <v>0</v>
      </c>
      <c r="AA42" s="68">
        <f t="shared" si="16"/>
        <v>132.18903176056583</v>
      </c>
      <c r="AB42" s="68">
        <f t="shared" si="17"/>
        <v>74.290235849438005</v>
      </c>
      <c r="AC42" s="47">
        <f t="shared" si="18"/>
        <v>32.655986866801911</v>
      </c>
      <c r="AE42" s="4">
        <v>2040</v>
      </c>
      <c r="AF42" s="53">
        <f t="shared" si="19"/>
        <v>1.7970069598301335</v>
      </c>
      <c r="AG42" s="54">
        <f t="shared" si="20"/>
        <v>1.5459796707758808</v>
      </c>
      <c r="AH42" s="54">
        <f t="shared" si="21"/>
        <v>1.1623742496744927</v>
      </c>
      <c r="AI42" s="55">
        <f t="shared" si="22"/>
        <v>1.4489752398774234</v>
      </c>
      <c r="AJ42" s="44">
        <f t="shared" si="23"/>
        <v>1.2935542856228694</v>
      </c>
      <c r="AK42" s="47">
        <f t="shared" si="24"/>
        <v>1.4744107809112437</v>
      </c>
      <c r="AL42" s="47">
        <f t="shared" si="25"/>
        <v>32.655986866801911</v>
      </c>
      <c r="AM42" s="47">
        <f t="shared" si="26"/>
        <v>7.5078153903114258</v>
      </c>
      <c r="AN42" s="47">
        <f t="shared" si="7"/>
        <v>34.126433592324659</v>
      </c>
      <c r="AO42" s="54">
        <f t="shared" si="27"/>
        <v>0</v>
      </c>
      <c r="AP42" s="47">
        <f t="shared" si="28"/>
        <v>57.89879591112782</v>
      </c>
    </row>
    <row r="43" spans="2:42" x14ac:dyDescent="0.35">
      <c r="B43" s="4">
        <v>2041</v>
      </c>
      <c r="C43" s="66">
        <f t="shared" si="8"/>
        <v>2.7E-2</v>
      </c>
      <c r="D43" s="37">
        <f t="shared" si="9"/>
        <v>318.16870787133229</v>
      </c>
      <c r="E43" s="57">
        <f t="shared" si="0"/>
        <v>0.02</v>
      </c>
      <c r="F43" s="69">
        <f t="shared" si="29"/>
        <v>172.67046942895814</v>
      </c>
      <c r="G43" s="40">
        <f t="shared" si="1"/>
        <v>1842.6353326284118</v>
      </c>
      <c r="H43" s="70">
        <f t="shared" si="10"/>
        <v>1.7000000000000001E-2</v>
      </c>
      <c r="I43" s="42">
        <f t="shared" si="30"/>
        <v>2357.7725103285434</v>
      </c>
      <c r="J43" s="59">
        <f t="shared" si="2"/>
        <v>1E-3</v>
      </c>
      <c r="K43" s="60">
        <f t="shared" si="3"/>
        <v>6.0000000000000001E-3</v>
      </c>
      <c r="L43" s="60">
        <f t="shared" si="36"/>
        <v>8.9999999999999993E-3</v>
      </c>
      <c r="M43" s="71">
        <f>IF(SUM($K$33:K43)&lt;4%,M42*(I43/I42-J43-K43-L43),M42*(I43/I42-J43-L43))</f>
        <v>13259.110680558853</v>
      </c>
      <c r="N43" s="62">
        <f t="shared" si="5"/>
        <v>-2E-3</v>
      </c>
      <c r="O43" s="47">
        <f t="shared" si="31"/>
        <v>2.4065948909763475</v>
      </c>
      <c r="P43" s="47">
        <f t="shared" si="11"/>
        <v>58.797218402392382</v>
      </c>
      <c r="Q43" s="64">
        <f t="shared" si="6"/>
        <v>0.56200000000000006</v>
      </c>
      <c r="R43" s="47">
        <f t="shared" si="12"/>
        <v>33.04403674214452</v>
      </c>
      <c r="S43" s="59">
        <f t="shared" si="35"/>
        <v>0</v>
      </c>
      <c r="T43" s="72">
        <f t="shared" si="32"/>
        <v>0.5544</v>
      </c>
      <c r="U43" s="66">
        <f t="shared" si="34"/>
        <v>0</v>
      </c>
      <c r="V43" s="73">
        <f>IF(SUM($U$20:U43)&lt;55%,V42*(1-U43),V42)</f>
        <v>2.52</v>
      </c>
      <c r="W43" s="47">
        <f t="shared" si="14"/>
        <v>133.91005477302843</v>
      </c>
      <c r="X43" s="47">
        <f t="shared" si="15"/>
        <v>75.257450782441992</v>
      </c>
      <c r="Y43" s="51">
        <f t="shared" si="33"/>
        <v>0</v>
      </c>
      <c r="Z43" s="74">
        <f>SUM($Y$21:Y43)*1.3*3.7/1000000</f>
        <v>0</v>
      </c>
      <c r="AA43" s="68">
        <f t="shared" si="16"/>
        <v>133.91005477302843</v>
      </c>
      <c r="AB43" s="68">
        <f t="shared" si="17"/>
        <v>75.257450782441992</v>
      </c>
      <c r="AC43" s="47">
        <f t="shared" si="18"/>
        <v>33.04403674214452</v>
      </c>
      <c r="AE43" s="4">
        <v>2041</v>
      </c>
      <c r="AF43" s="53">
        <f t="shared" si="19"/>
        <v>1.8455261477455469</v>
      </c>
      <c r="AG43" s="54">
        <f t="shared" si="20"/>
        <v>1.5768992641913986</v>
      </c>
      <c r="AH43" s="54">
        <f t="shared" si="21"/>
        <v>1.1703513278585329</v>
      </c>
      <c r="AI43" s="55">
        <f t="shared" si="22"/>
        <v>1.4736078189553397</v>
      </c>
      <c r="AJ43" s="44">
        <f t="shared" si="23"/>
        <v>1.3026091656222298</v>
      </c>
      <c r="AK43" s="47">
        <f t="shared" si="24"/>
        <v>1.4936067372623529</v>
      </c>
      <c r="AL43" s="47">
        <f t="shared" si="25"/>
        <v>33.04403674214452</v>
      </c>
      <c r="AM43" s="47">
        <f t="shared" si="26"/>
        <v>7.612254990873315</v>
      </c>
      <c r="AN43" s="47">
        <f t="shared" si="7"/>
        <v>34.601159049424155</v>
      </c>
      <c r="AO43" s="54">
        <f t="shared" si="27"/>
        <v>0</v>
      </c>
      <c r="AP43" s="47">
        <f t="shared" si="28"/>
        <v>58.652603990586442</v>
      </c>
    </row>
    <row r="44" spans="2:42" x14ac:dyDescent="0.35">
      <c r="B44" s="4">
        <v>2042</v>
      </c>
      <c r="C44" s="66">
        <f t="shared" si="8"/>
        <v>2.7E-2</v>
      </c>
      <c r="D44" s="37">
        <f t="shared" si="9"/>
        <v>326.75926298385821</v>
      </c>
      <c r="E44" s="57">
        <f t="shared" si="0"/>
        <v>0.02</v>
      </c>
      <c r="F44" s="69">
        <f t="shared" si="29"/>
        <v>176.1238788175373</v>
      </c>
      <c r="G44" s="40">
        <f t="shared" si="1"/>
        <v>1855.2808692248809</v>
      </c>
      <c r="H44" s="70">
        <f t="shared" si="10"/>
        <v>1.7000000000000001E-2</v>
      </c>
      <c r="I44" s="42">
        <f t="shared" si="30"/>
        <v>2397.8546430041283</v>
      </c>
      <c r="J44" s="59">
        <f t="shared" si="2"/>
        <v>1E-3</v>
      </c>
      <c r="K44" s="60">
        <f t="shared" si="3"/>
        <v>6.0000000000000001E-3</v>
      </c>
      <c r="L44" s="60">
        <f t="shared" si="36"/>
        <v>8.9999999999999993E-3</v>
      </c>
      <c r="M44" s="71">
        <f>IF(SUM($K$33:K44)&lt;4%,M43*(I44/I43-J44-K44-L44),M43*(I44/I43-J44-L44))</f>
        <v>13351.924455322767</v>
      </c>
      <c r="N44" s="62">
        <f t="shared" si="5"/>
        <v>-2E-3</v>
      </c>
      <c r="O44" s="47">
        <f t="shared" si="31"/>
        <v>2.4017817011943947</v>
      </c>
      <c r="P44" s="47">
        <f t="shared" si="11"/>
        <v>59.495903558183393</v>
      </c>
      <c r="Q44" s="64">
        <f t="shared" si="6"/>
        <v>0.56200000000000006</v>
      </c>
      <c r="R44" s="47">
        <f t="shared" si="12"/>
        <v>33.436697799699068</v>
      </c>
      <c r="S44" s="59">
        <f t="shared" si="35"/>
        <v>0</v>
      </c>
      <c r="T44" s="72">
        <f t="shared" si="32"/>
        <v>0.5544</v>
      </c>
      <c r="U44" s="66">
        <f t="shared" si="34"/>
        <v>0</v>
      </c>
      <c r="V44" s="73">
        <f>IF(SUM($U$20:U44)&lt;55%,V43*(1-U44),V43)</f>
        <v>2.52</v>
      </c>
      <c r="W44" s="47">
        <f t="shared" si="14"/>
        <v>135.65361839476355</v>
      </c>
      <c r="X44" s="47">
        <f t="shared" si="15"/>
        <v>76.237333537857126</v>
      </c>
      <c r="Y44" s="51">
        <f t="shared" si="33"/>
        <v>0</v>
      </c>
      <c r="Z44" s="74">
        <f>SUM($Y$21:Y44)*1.3*3.7/1000000</f>
        <v>0</v>
      </c>
      <c r="AA44" s="68">
        <f t="shared" si="16"/>
        <v>135.65361839476355</v>
      </c>
      <c r="AB44" s="68">
        <f t="shared" si="17"/>
        <v>76.237333537857126</v>
      </c>
      <c r="AC44" s="47">
        <f t="shared" si="18"/>
        <v>33.436697799699068</v>
      </c>
      <c r="AE44" s="4">
        <v>2042</v>
      </c>
      <c r="AF44" s="53">
        <f t="shared" si="19"/>
        <v>1.8953553537346763</v>
      </c>
      <c r="AG44" s="54">
        <f t="shared" si="20"/>
        <v>1.6084372494752266</v>
      </c>
      <c r="AH44" s="54">
        <f t="shared" si="21"/>
        <v>1.1783831506967775</v>
      </c>
      <c r="AI44" s="55">
        <f t="shared" si="22"/>
        <v>1.4986591518775803</v>
      </c>
      <c r="AJ44" s="44">
        <f t="shared" si="23"/>
        <v>1.3117274297815855</v>
      </c>
      <c r="AK44" s="47">
        <f t="shared" si="24"/>
        <v>1.513054107190497</v>
      </c>
      <c r="AL44" s="47">
        <f t="shared" si="25"/>
        <v>33.436697799699068</v>
      </c>
      <c r="AM44" s="47">
        <f t="shared" si="26"/>
        <v>7.7181474281924336</v>
      </c>
      <c r="AN44" s="47">
        <f t="shared" si="7"/>
        <v>35.082488309965612</v>
      </c>
      <c r="AO44" s="54">
        <f t="shared" si="27"/>
        <v>0</v>
      </c>
      <c r="AP44" s="47">
        <f t="shared" si="28"/>
        <v>59.416284856906429</v>
      </c>
    </row>
    <row r="45" spans="2:42" x14ac:dyDescent="0.35">
      <c r="B45" s="4">
        <v>2043</v>
      </c>
      <c r="C45" s="66">
        <f t="shared" si="8"/>
        <v>2.7E-2</v>
      </c>
      <c r="D45" s="37">
        <f t="shared" si="9"/>
        <v>335.58176308442233</v>
      </c>
      <c r="E45" s="57">
        <f t="shared" si="0"/>
        <v>0.02</v>
      </c>
      <c r="F45" s="69">
        <f t="shared" si="29"/>
        <v>179.64635639388806</v>
      </c>
      <c r="G45" s="40">
        <f t="shared" si="1"/>
        <v>1868.0131889156398</v>
      </c>
      <c r="H45" s="70">
        <f t="shared" si="10"/>
        <v>1.7000000000000001E-2</v>
      </c>
      <c r="I45" s="42">
        <f t="shared" si="30"/>
        <v>2438.6181719351985</v>
      </c>
      <c r="J45" s="59">
        <f t="shared" si="2"/>
        <v>1E-3</v>
      </c>
      <c r="K45" s="60">
        <f t="shared" si="3"/>
        <v>6.0000000000000001E-3</v>
      </c>
      <c r="L45" s="60">
        <f t="shared" si="36"/>
        <v>8.9999999999999993E-3</v>
      </c>
      <c r="M45" s="71">
        <f>IF(SUM($K$33:K45)&lt;4%,M44*(I45/I44-J45-K45-L45),M44*(I45/I44-J45-L45))</f>
        <v>13445.387926510028</v>
      </c>
      <c r="N45" s="62">
        <f t="shared" si="5"/>
        <v>-2E-3</v>
      </c>
      <c r="O45" s="47">
        <f t="shared" si="31"/>
        <v>2.3969781377920061</v>
      </c>
      <c r="P45" s="47">
        <f t="shared" si="11"/>
        <v>60.202891163651252</v>
      </c>
      <c r="Q45" s="64">
        <f t="shared" si="6"/>
        <v>0.56200000000000006</v>
      </c>
      <c r="R45" s="47">
        <f t="shared" si="12"/>
        <v>33.834024833972009</v>
      </c>
      <c r="S45" s="59">
        <f t="shared" si="35"/>
        <v>0</v>
      </c>
      <c r="T45" s="72">
        <f t="shared" si="32"/>
        <v>0.5544</v>
      </c>
      <c r="U45" s="66">
        <f t="shared" si="34"/>
        <v>0</v>
      </c>
      <c r="V45" s="73">
        <f>IF(SUM($U$20:U45)&lt;55%,V44*(1-U45),V44)</f>
        <v>2.52</v>
      </c>
      <c r="W45" s="47">
        <f t="shared" si="14"/>
        <v>137.4200195451493</v>
      </c>
      <c r="X45" s="47">
        <f t="shared" si="15"/>
        <v>77.230050984373918</v>
      </c>
      <c r="Y45" s="51">
        <f t="shared" si="33"/>
        <v>0</v>
      </c>
      <c r="Z45" s="74">
        <f>SUM($Y$21:Y45)*1.3*3.7/1000000</f>
        <v>0</v>
      </c>
      <c r="AA45" s="68">
        <f t="shared" si="16"/>
        <v>137.4200195451493</v>
      </c>
      <c r="AB45" s="68">
        <f t="shared" si="17"/>
        <v>77.230050984373918</v>
      </c>
      <c r="AC45" s="47">
        <f t="shared" si="18"/>
        <v>33.834024833972009</v>
      </c>
      <c r="AE45" s="4">
        <v>2043</v>
      </c>
      <c r="AF45" s="53">
        <f t="shared" si="19"/>
        <v>1.9465299482855123</v>
      </c>
      <c r="AG45" s="54">
        <f t="shared" si="20"/>
        <v>1.6406059944647311</v>
      </c>
      <c r="AH45" s="54">
        <f t="shared" si="21"/>
        <v>1.1864700938878339</v>
      </c>
      <c r="AI45" s="55">
        <f t="shared" si="22"/>
        <v>1.524136357459499</v>
      </c>
      <c r="AJ45" s="44">
        <f t="shared" si="23"/>
        <v>1.3209095217900568</v>
      </c>
      <c r="AK45" s="47">
        <f t="shared" si="24"/>
        <v>1.5327562024767394</v>
      </c>
      <c r="AL45" s="47">
        <f t="shared" si="25"/>
        <v>33.834024833972009</v>
      </c>
      <c r="AM45" s="47">
        <f t="shared" si="26"/>
        <v>7.8255129123675555</v>
      </c>
      <c r="AN45" s="47">
        <f t="shared" si="7"/>
        <v>35.570513238034337</v>
      </c>
      <c r="AO45" s="54">
        <f t="shared" si="27"/>
        <v>0</v>
      </c>
      <c r="AP45" s="47">
        <f t="shared" si="28"/>
        <v>60.189968560775384</v>
      </c>
    </row>
    <row r="46" spans="2:42" x14ac:dyDescent="0.35">
      <c r="B46" s="4">
        <v>2044</v>
      </c>
      <c r="C46" s="66">
        <f t="shared" si="8"/>
        <v>2.7E-2</v>
      </c>
      <c r="D46" s="37">
        <f t="shared" si="9"/>
        <v>344.64247068770169</v>
      </c>
      <c r="E46" s="57">
        <f t="shared" si="0"/>
        <v>0.02</v>
      </c>
      <c r="F46" s="69">
        <f t="shared" si="29"/>
        <v>183.23928352176583</v>
      </c>
      <c r="G46" s="40">
        <f t="shared" si="1"/>
        <v>1880.8328872709428</v>
      </c>
      <c r="H46" s="70">
        <f t="shared" si="10"/>
        <v>1.7000000000000001E-2</v>
      </c>
      <c r="I46" s="42">
        <f t="shared" si="30"/>
        <v>2480.0746808580966</v>
      </c>
      <c r="J46" s="59">
        <f t="shared" si="2"/>
        <v>1E-3</v>
      </c>
      <c r="K46" s="60">
        <f t="shared" si="3"/>
        <v>6.0000000000000001E-3</v>
      </c>
      <c r="L46" s="60">
        <f t="shared" si="36"/>
        <v>8.9999999999999993E-3</v>
      </c>
      <c r="M46" s="71">
        <f>IF(SUM($K$33:K46)&lt;4%,M45*(I46/I45-J46-K46-L46),M45*(I46/I45-J46-L46))</f>
        <v>13539.5056419956</v>
      </c>
      <c r="N46" s="62">
        <f t="shared" si="5"/>
        <v>-2E-3</v>
      </c>
      <c r="O46" s="47">
        <f t="shared" si="31"/>
        <v>2.3921841815164222</v>
      </c>
      <c r="P46" s="47">
        <f t="shared" si="11"/>
        <v>60.918279876496108</v>
      </c>
      <c r="Q46" s="64">
        <f t="shared" si="6"/>
        <v>0.56200000000000006</v>
      </c>
      <c r="R46" s="47">
        <f t="shared" si="12"/>
        <v>34.236073290590816</v>
      </c>
      <c r="S46" s="59">
        <f t="shared" si="35"/>
        <v>0</v>
      </c>
      <c r="T46" s="72">
        <f t="shared" si="32"/>
        <v>0.5544</v>
      </c>
      <c r="U46" s="66">
        <f t="shared" si="34"/>
        <v>0</v>
      </c>
      <c r="V46" s="73">
        <f>IF(SUM($U$20:U46)&lt;55%,V45*(1-U46),V45)</f>
        <v>2.52</v>
      </c>
      <c r="W46" s="47">
        <f t="shared" si="14"/>
        <v>139.2095590762344</v>
      </c>
      <c r="X46" s="47">
        <f t="shared" si="15"/>
        <v>78.235772200843741</v>
      </c>
      <c r="Y46" s="51">
        <f t="shared" si="33"/>
        <v>0</v>
      </c>
      <c r="Z46" s="74">
        <f>SUM($Y$21:Y46)*1.3*3.7/1000000</f>
        <v>0</v>
      </c>
      <c r="AA46" s="68">
        <f t="shared" si="16"/>
        <v>139.2095590762344</v>
      </c>
      <c r="AB46" s="68">
        <f t="shared" si="17"/>
        <v>78.235772200843741</v>
      </c>
      <c r="AC46" s="47">
        <f t="shared" si="18"/>
        <v>34.236073290590816</v>
      </c>
      <c r="AE46" s="4">
        <v>2044</v>
      </c>
      <c r="AF46" s="53">
        <f t="shared" si="19"/>
        <v>1.9990862568892209</v>
      </c>
      <c r="AG46" s="54">
        <f t="shared" si="20"/>
        <v>1.6734181143540259</v>
      </c>
      <c r="AH46" s="54">
        <f t="shared" si="21"/>
        <v>1.1946125357086324</v>
      </c>
      <c r="AI46" s="55">
        <f t="shared" si="22"/>
        <v>1.5500466755363105</v>
      </c>
      <c r="AJ46" s="44">
        <f t="shared" si="23"/>
        <v>1.3301558884425875</v>
      </c>
      <c r="AK46" s="47">
        <f t="shared" si="24"/>
        <v>1.5527163787663869</v>
      </c>
      <c r="AL46" s="47">
        <f t="shared" si="25"/>
        <v>34.236073290590816</v>
      </c>
      <c r="AM46" s="47">
        <f t="shared" si="26"/>
        <v>7.9343719346357737</v>
      </c>
      <c r="AN46" s="47">
        <f t="shared" si="7"/>
        <v>36.065326975617147</v>
      </c>
      <c r="AO46" s="54">
        <f t="shared" si="27"/>
        <v>0</v>
      </c>
      <c r="AP46" s="47">
        <f t="shared" si="28"/>
        <v>60.973786875390658</v>
      </c>
    </row>
    <row r="47" spans="2:42" x14ac:dyDescent="0.35">
      <c r="B47" s="4">
        <v>2045</v>
      </c>
      <c r="C47" s="66">
        <f t="shared" si="8"/>
        <v>2.7E-2</v>
      </c>
      <c r="D47" s="37">
        <f t="shared" si="9"/>
        <v>353.94781739626961</v>
      </c>
      <c r="E47" s="57">
        <f t="shared" si="0"/>
        <v>0.02</v>
      </c>
      <c r="F47" s="69">
        <f t="shared" si="29"/>
        <v>186.90406919220115</v>
      </c>
      <c r="G47" s="40">
        <f t="shared" si="1"/>
        <v>1893.740563948292</v>
      </c>
      <c r="H47" s="70">
        <f t="shared" si="10"/>
        <v>1.7000000000000001E-2</v>
      </c>
      <c r="I47" s="42">
        <f t="shared" si="30"/>
        <v>2522.2359504326841</v>
      </c>
      <c r="J47" s="59">
        <f t="shared" si="2"/>
        <v>1E-3</v>
      </c>
      <c r="K47" s="60">
        <f t="shared" si="3"/>
        <v>6.0000000000000001E-3</v>
      </c>
      <c r="L47" s="60">
        <f t="shared" si="36"/>
        <v>8.9999999999999993E-3</v>
      </c>
      <c r="M47" s="71">
        <f>IF(SUM($K$33:K47)&lt;4%,M46*(I47/I46-J47-K47-L47),M46*(I47/I46-J47-L47))</f>
        <v>13634.282181489571</v>
      </c>
      <c r="N47" s="62">
        <f t="shared" si="5"/>
        <v>-2E-3</v>
      </c>
      <c r="O47" s="47">
        <f t="shared" si="31"/>
        <v>2.3873998131533893</v>
      </c>
      <c r="P47" s="47">
        <f t="shared" si="11"/>
        <v>61.642169526763951</v>
      </c>
      <c r="Q47" s="64">
        <f t="shared" si="6"/>
        <v>0.56200000000000006</v>
      </c>
      <c r="R47" s="47">
        <f t="shared" si="12"/>
        <v>34.642899274041341</v>
      </c>
      <c r="S47" s="59">
        <f t="shared" si="35"/>
        <v>0</v>
      </c>
      <c r="T47" s="72">
        <f t="shared" si="32"/>
        <v>0.5544</v>
      </c>
      <c r="U47" s="66">
        <f t="shared" si="34"/>
        <v>0</v>
      </c>
      <c r="V47" s="73">
        <f>IF(SUM($U$20:U47)&lt;55%,V46*(1-U47),V46)</f>
        <v>2.52</v>
      </c>
      <c r="W47" s="47">
        <f t="shared" si="14"/>
        <v>141.02254182509546</v>
      </c>
      <c r="X47" s="47">
        <f t="shared" si="15"/>
        <v>79.254668505703663</v>
      </c>
      <c r="Y47" s="51">
        <f t="shared" si="33"/>
        <v>0</v>
      </c>
      <c r="Z47" s="74">
        <f>SUM($Y$21:Y47)*1.3*3.7/1000000</f>
        <v>0</v>
      </c>
      <c r="AA47" s="68">
        <f t="shared" si="16"/>
        <v>141.02254182509546</v>
      </c>
      <c r="AB47" s="68">
        <f t="shared" si="17"/>
        <v>79.254668505703663</v>
      </c>
      <c r="AC47" s="47">
        <f t="shared" si="18"/>
        <v>34.642899274041341</v>
      </c>
      <c r="AE47" s="4">
        <v>2045</v>
      </c>
      <c r="AF47" s="53">
        <f t="shared" si="19"/>
        <v>2.0530615858252297</v>
      </c>
      <c r="AG47" s="54">
        <f t="shared" si="20"/>
        <v>1.7068864766411065</v>
      </c>
      <c r="AH47" s="54">
        <f t="shared" si="21"/>
        <v>1.2028108570321228</v>
      </c>
      <c r="AI47" s="55">
        <f t="shared" si="22"/>
        <v>1.5763974690204277</v>
      </c>
      <c r="AJ47" s="44">
        <f t="shared" si="23"/>
        <v>1.3394669796616856</v>
      </c>
      <c r="AK47" s="47">
        <f t="shared" si="24"/>
        <v>1.5729380361529741</v>
      </c>
      <c r="AL47" s="47">
        <f t="shared" si="25"/>
        <v>34.642899274041341</v>
      </c>
      <c r="AM47" s="47">
        <f t="shared" si="26"/>
        <v>8.0447452712833663</v>
      </c>
      <c r="AN47" s="47">
        <f t="shared" si="7"/>
        <v>36.56702396037894</v>
      </c>
      <c r="AO47" s="54">
        <f t="shared" si="27"/>
        <v>0</v>
      </c>
      <c r="AP47" s="47">
        <f t="shared" si="28"/>
        <v>61.767873319391796</v>
      </c>
    </row>
    <row r="48" spans="2:42" x14ac:dyDescent="0.35">
      <c r="B48" s="4">
        <v>2046</v>
      </c>
      <c r="C48" s="66">
        <f t="shared" si="8"/>
        <v>2.7E-2</v>
      </c>
      <c r="D48" s="37">
        <f t="shared" si="9"/>
        <v>363.50440846596888</v>
      </c>
      <c r="E48" s="57">
        <f t="shared" si="0"/>
        <v>0.02</v>
      </c>
      <c r="F48" s="69">
        <f t="shared" si="29"/>
        <v>190.64215057604517</v>
      </c>
      <c r="G48" s="40">
        <f t="shared" si="1"/>
        <v>1906.7368227204861</v>
      </c>
      <c r="H48" s="70">
        <f t="shared" si="10"/>
        <v>1.7000000000000001E-2</v>
      </c>
      <c r="I48" s="42">
        <f t="shared" si="30"/>
        <v>2565.1139615900397</v>
      </c>
      <c r="J48" s="59">
        <f t="shared" si="2"/>
        <v>1E-3</v>
      </c>
      <c r="K48" s="60">
        <f t="shared" si="3"/>
        <v>6.0000000000000001E-3</v>
      </c>
      <c r="L48" s="60">
        <f t="shared" si="36"/>
        <v>8.9999999999999993E-3</v>
      </c>
      <c r="M48" s="71">
        <f>IF(SUM($K$33:K48)&lt;4%,M47*(I48/I47-J48-K48-L48),M47*(I48/I47-J48-L48))</f>
        <v>13729.722156759999</v>
      </c>
      <c r="N48" s="62">
        <f t="shared" si="5"/>
        <v>-2E-3</v>
      </c>
      <c r="O48" s="47">
        <f t="shared" si="31"/>
        <v>2.3826250135270826</v>
      </c>
      <c r="P48" s="47">
        <f t="shared" si="11"/>
        <v>62.374661130777518</v>
      </c>
      <c r="Q48" s="64">
        <f t="shared" si="6"/>
        <v>0.56200000000000006</v>
      </c>
      <c r="R48" s="47">
        <f t="shared" si="12"/>
        <v>35.054559555496972</v>
      </c>
      <c r="S48" s="59">
        <f t="shared" si="35"/>
        <v>0</v>
      </c>
      <c r="T48" s="72">
        <f t="shared" si="32"/>
        <v>0.5544</v>
      </c>
      <c r="U48" s="66">
        <f t="shared" si="34"/>
        <v>0</v>
      </c>
      <c r="V48" s="73">
        <f>IF(SUM($U$20:U48)&lt;55%,V47*(1-U48),V47)</f>
        <v>2.52</v>
      </c>
      <c r="W48" s="47">
        <f t="shared" si="14"/>
        <v>142.85927666689435</v>
      </c>
      <c r="X48" s="47">
        <f t="shared" si="15"/>
        <v>80.286913486794631</v>
      </c>
      <c r="Y48" s="51">
        <f t="shared" si="33"/>
        <v>0</v>
      </c>
      <c r="Z48" s="74">
        <f>SUM($Y$21:Y48)*1.3*3.7/1000000</f>
        <v>0</v>
      </c>
      <c r="AA48" s="68">
        <f t="shared" si="16"/>
        <v>142.85927666689435</v>
      </c>
      <c r="AB48" s="68">
        <f t="shared" si="17"/>
        <v>80.286913486794631</v>
      </c>
      <c r="AC48" s="47">
        <f t="shared" si="18"/>
        <v>35.054559555496972</v>
      </c>
      <c r="AE48" s="4">
        <v>2046</v>
      </c>
      <c r="AF48" s="53">
        <f t="shared" si="19"/>
        <v>2.1084942486425109</v>
      </c>
      <c r="AG48" s="54">
        <f t="shared" si="20"/>
        <v>1.7410242061739285</v>
      </c>
      <c r="AH48" s="54">
        <f t="shared" si="21"/>
        <v>1.2110654413450883</v>
      </c>
      <c r="AI48" s="55">
        <f t="shared" si="22"/>
        <v>1.6031962259937749</v>
      </c>
      <c r="AJ48" s="44">
        <f t="shared" si="23"/>
        <v>1.3488432485193176</v>
      </c>
      <c r="AK48" s="47">
        <f t="shared" si="24"/>
        <v>1.5934246197700535</v>
      </c>
      <c r="AL48" s="47">
        <f t="shared" si="25"/>
        <v>35.054559555496972</v>
      </c>
      <c r="AM48" s="47">
        <f t="shared" si="26"/>
        <v>8.1566539876110529</v>
      </c>
      <c r="AN48" s="47">
        <f t="shared" si="7"/>
        <v>37.075699943686601</v>
      </c>
      <c r="AO48" s="54">
        <f t="shared" si="27"/>
        <v>0</v>
      </c>
      <c r="AP48" s="47">
        <f t="shared" si="28"/>
        <v>62.572363180099714</v>
      </c>
    </row>
    <row r="49" spans="2:42" x14ac:dyDescent="0.35">
      <c r="B49" s="4">
        <v>2047</v>
      </c>
      <c r="C49" s="66">
        <f t="shared" si="8"/>
        <v>2.7E-2</v>
      </c>
      <c r="D49" s="37">
        <f t="shared" si="9"/>
        <v>373.31902749455003</v>
      </c>
      <c r="E49" s="57">
        <f t="shared" si="0"/>
        <v>0.02</v>
      </c>
      <c r="F49" s="69">
        <f t="shared" si="29"/>
        <v>194.45499358756607</v>
      </c>
      <c r="G49" s="40">
        <f t="shared" si="1"/>
        <v>1919.8222715038621</v>
      </c>
      <c r="H49" s="70">
        <f t="shared" si="10"/>
        <v>1.7000000000000001E-2</v>
      </c>
      <c r="I49" s="42">
        <f t="shared" si="30"/>
        <v>2608.7208989370702</v>
      </c>
      <c r="J49" s="59">
        <f t="shared" si="2"/>
        <v>1E-3</v>
      </c>
      <c r="K49" s="60">
        <f t="shared" si="3"/>
        <v>6.0000000000000001E-3</v>
      </c>
      <c r="L49" s="60">
        <f t="shared" si="36"/>
        <v>8.9999999999999993E-3</v>
      </c>
      <c r="M49" s="71">
        <f>IF(SUM($K$33:K49)&lt;4%,M48*(I49/I48-J49-K49-L49),M48*(I49/I48-J49-L49))</f>
        <v>13825.830211857321</v>
      </c>
      <c r="N49" s="62">
        <f t="shared" si="5"/>
        <v>-2E-3</v>
      </c>
      <c r="O49" s="47">
        <f t="shared" si="31"/>
        <v>2.3778597635000285</v>
      </c>
      <c r="P49" s="47">
        <f t="shared" si="11"/>
        <v>63.115856905232675</v>
      </c>
      <c r="Q49" s="64">
        <f t="shared" si="6"/>
        <v>0.56200000000000006</v>
      </c>
      <c r="R49" s="47">
        <f t="shared" si="12"/>
        <v>35.471111580740768</v>
      </c>
      <c r="S49" s="59">
        <f t="shared" si="35"/>
        <v>0</v>
      </c>
      <c r="T49" s="72">
        <f t="shared" si="32"/>
        <v>0.5544</v>
      </c>
      <c r="U49" s="66">
        <f t="shared" si="34"/>
        <v>0</v>
      </c>
      <c r="V49" s="73">
        <f>IF(SUM($U$20:U49)&lt;55%,V48*(1-U49),V48)</f>
        <v>2.52</v>
      </c>
      <c r="W49" s="47">
        <f t="shared" si="14"/>
        <v>144.72007656864557</v>
      </c>
      <c r="X49" s="47">
        <f t="shared" si="15"/>
        <v>81.33268303157881</v>
      </c>
      <c r="Y49" s="51">
        <f t="shared" si="33"/>
        <v>0</v>
      </c>
      <c r="Z49" s="74">
        <f>SUM($Y$21:Y49)*1.3*3.7/1000000</f>
        <v>0</v>
      </c>
      <c r="AA49" s="68">
        <f t="shared" si="16"/>
        <v>144.72007656864557</v>
      </c>
      <c r="AB49" s="68">
        <f t="shared" si="17"/>
        <v>81.33268303157881</v>
      </c>
      <c r="AC49" s="47">
        <f t="shared" si="18"/>
        <v>35.471111580740768</v>
      </c>
      <c r="AE49" s="4">
        <v>2047</v>
      </c>
      <c r="AF49" s="53">
        <f t="shared" si="19"/>
        <v>2.1654235933558588</v>
      </c>
      <c r="AG49" s="54">
        <f t="shared" si="20"/>
        <v>1.775844690297407</v>
      </c>
      <c r="AH49" s="54">
        <f t="shared" si="21"/>
        <v>1.2193766747660839</v>
      </c>
      <c r="AI49" s="55">
        <f t="shared" si="22"/>
        <v>1.6304505618356688</v>
      </c>
      <c r="AJ49" s="44">
        <f t="shared" si="23"/>
        <v>1.3582851512589531</v>
      </c>
      <c r="AK49" s="47">
        <f t="shared" si="24"/>
        <v>1.6141796203909069</v>
      </c>
      <c r="AL49" s="47">
        <f t="shared" si="25"/>
        <v>35.471111580740768</v>
      </c>
      <c r="AM49" s="47">
        <f t="shared" si="26"/>
        <v>8.2701194419544013</v>
      </c>
      <c r="AN49" s="47">
        <f t="shared" si="7"/>
        <v>37.591452008883643</v>
      </c>
      <c r="AO49" s="54">
        <f t="shared" si="27"/>
        <v>0</v>
      </c>
      <c r="AP49" s="47">
        <f t="shared" si="28"/>
        <v>63.387393537066757</v>
      </c>
    </row>
    <row r="50" spans="2:42" x14ac:dyDescent="0.35">
      <c r="B50" s="4">
        <v>2048</v>
      </c>
      <c r="C50" s="66">
        <f t="shared" si="8"/>
        <v>2.7E-2</v>
      </c>
      <c r="D50" s="37">
        <f t="shared" si="9"/>
        <v>383.39864123690285</v>
      </c>
      <c r="E50" s="57">
        <f t="shared" si="0"/>
        <v>0.02</v>
      </c>
      <c r="F50" s="69">
        <f t="shared" si="29"/>
        <v>198.34409345931738</v>
      </c>
      <c r="G50" s="40">
        <f t="shared" si="1"/>
        <v>1932.9975223867318</v>
      </c>
      <c r="H50" s="70">
        <f t="shared" si="10"/>
        <v>1.7000000000000001E-2</v>
      </c>
      <c r="I50" s="42">
        <f t="shared" si="30"/>
        <v>2653.0691542190002</v>
      </c>
      <c r="J50" s="59">
        <f t="shared" si="2"/>
        <v>1E-3</v>
      </c>
      <c r="K50" s="60">
        <f t="shared" si="3"/>
        <v>6.0000000000000001E-3</v>
      </c>
      <c r="L50" s="60">
        <f t="shared" si="36"/>
        <v>8.9999999999999993E-3</v>
      </c>
      <c r="M50" s="71">
        <f>IF(SUM($K$33:K50)&lt;4%,M49*(I50/I49-J50-K50-L50),M49*(I50/I49-J50-L50))</f>
        <v>13922.611023340323</v>
      </c>
      <c r="N50" s="62">
        <f t="shared" si="5"/>
        <v>-2E-3</v>
      </c>
      <c r="O50" s="47">
        <f t="shared" si="31"/>
        <v>2.3731040439730284</v>
      </c>
      <c r="P50" s="47">
        <f t="shared" si="11"/>
        <v>63.865860281462496</v>
      </c>
      <c r="Q50" s="64">
        <f t="shared" si="6"/>
        <v>0.56200000000000006</v>
      </c>
      <c r="R50" s="47">
        <f t="shared" si="12"/>
        <v>35.892613478181929</v>
      </c>
      <c r="S50" s="59">
        <f t="shared" si="35"/>
        <v>0</v>
      </c>
      <c r="T50" s="72">
        <f t="shared" si="32"/>
        <v>0.5544</v>
      </c>
      <c r="U50" s="66">
        <f t="shared" si="34"/>
        <v>0</v>
      </c>
      <c r="V50" s="73">
        <f>IF(SUM($U$20:U50)&lt;55%,V49*(1-U50),V49)</f>
        <v>2.52</v>
      </c>
      <c r="W50" s="47">
        <f t="shared" si="14"/>
        <v>146.60525864370302</v>
      </c>
      <c r="X50" s="47">
        <f t="shared" si="15"/>
        <v>82.392155357761112</v>
      </c>
      <c r="Y50" s="51">
        <f t="shared" si="33"/>
        <v>0</v>
      </c>
      <c r="Z50" s="74">
        <f>SUM($Y$21:Y50)*1.3*3.7/1000000</f>
        <v>0</v>
      </c>
      <c r="AA50" s="68">
        <f t="shared" si="16"/>
        <v>146.60525864370302</v>
      </c>
      <c r="AB50" s="68">
        <f t="shared" si="17"/>
        <v>82.392155357761112</v>
      </c>
      <c r="AC50" s="47">
        <f t="shared" si="18"/>
        <v>35.892613478181929</v>
      </c>
      <c r="AE50" s="4">
        <v>2048</v>
      </c>
      <c r="AF50" s="53">
        <f t="shared" si="19"/>
        <v>2.2238900303764666</v>
      </c>
      <c r="AG50" s="54">
        <f t="shared" si="20"/>
        <v>1.811361584103355</v>
      </c>
      <c r="AH50" s="54">
        <f t="shared" si="21"/>
        <v>1.2277449460634984</v>
      </c>
      <c r="AI50" s="55">
        <f t="shared" si="22"/>
        <v>1.6581682213868751</v>
      </c>
      <c r="AJ50" s="44">
        <f t="shared" si="23"/>
        <v>1.3677931473177658</v>
      </c>
      <c r="AK50" s="47">
        <f t="shared" si="24"/>
        <v>1.6352065750362812</v>
      </c>
      <c r="AL50" s="47">
        <f t="shared" si="25"/>
        <v>35.892613478181929</v>
      </c>
      <c r="AM50" s="47">
        <f t="shared" si="26"/>
        <v>8.3851632897601771</v>
      </c>
      <c r="AN50" s="47">
        <f t="shared" si="7"/>
        <v>38.11437858981899</v>
      </c>
      <c r="AO50" s="54">
        <f t="shared" si="27"/>
        <v>0</v>
      </c>
      <c r="AP50" s="47">
        <f t="shared" si="28"/>
        <v>64.213103285941912</v>
      </c>
    </row>
    <row r="51" spans="2:42" x14ac:dyDescent="0.35">
      <c r="B51" s="4">
        <v>2049</v>
      </c>
      <c r="C51" s="66">
        <f t="shared" si="8"/>
        <v>2.7E-2</v>
      </c>
      <c r="D51" s="37">
        <f t="shared" si="9"/>
        <v>393.75040455029921</v>
      </c>
      <c r="E51" s="57">
        <f t="shared" si="0"/>
        <v>0.02</v>
      </c>
      <c r="F51" s="69">
        <f t="shared" si="29"/>
        <v>202.31097532850373</v>
      </c>
      <c r="G51" s="40">
        <f t="shared" si="1"/>
        <v>1946.2631916580131</v>
      </c>
      <c r="H51" s="70">
        <f t="shared" si="10"/>
        <v>1.7000000000000001E-2</v>
      </c>
      <c r="I51" s="42">
        <f t="shared" si="30"/>
        <v>2698.171329840723</v>
      </c>
      <c r="J51" s="59">
        <f t="shared" si="2"/>
        <v>1E-3</v>
      </c>
      <c r="K51" s="60">
        <f t="shared" si="3"/>
        <v>6.0000000000000001E-3</v>
      </c>
      <c r="L51" s="60">
        <f t="shared" si="36"/>
        <v>8.9999999999999993E-3</v>
      </c>
      <c r="M51" s="71">
        <f>IF(SUM($K$33:K51)&lt;4%,M50*(I51/I50-J51-K51-L51),M50*(I51/I50-J51-L51))</f>
        <v>14020.069300503706</v>
      </c>
      <c r="N51" s="62">
        <f t="shared" si="5"/>
        <v>-2E-3</v>
      </c>
      <c r="O51" s="47">
        <f t="shared" si="31"/>
        <v>2.3683578358850825</v>
      </c>
      <c r="P51" s="47">
        <f t="shared" si="11"/>
        <v>64.624775919870743</v>
      </c>
      <c r="Q51" s="64">
        <f t="shared" si="6"/>
        <v>0.56200000000000006</v>
      </c>
      <c r="R51" s="47">
        <f t="shared" si="12"/>
        <v>36.319124066967362</v>
      </c>
      <c r="S51" s="59">
        <f t="shared" si="35"/>
        <v>0</v>
      </c>
      <c r="T51" s="72">
        <f t="shared" si="32"/>
        <v>0.5544</v>
      </c>
      <c r="U51" s="66">
        <f t="shared" si="34"/>
        <v>0</v>
      </c>
      <c r="V51" s="73">
        <f>IF(SUM($U$20:U51)&lt;55%,V50*(1-U51),V50)</f>
        <v>2.52</v>
      </c>
      <c r="W51" s="47">
        <f t="shared" si="14"/>
        <v>148.51514420697578</v>
      </c>
      <c r="X51" s="47">
        <f t="shared" si="15"/>
        <v>83.465511044320394</v>
      </c>
      <c r="Y51" s="51">
        <f t="shared" si="33"/>
        <v>0</v>
      </c>
      <c r="Z51" s="74">
        <f>SUM($Y$21:Y51)*1.3*3.7/1000000</f>
        <v>0</v>
      </c>
      <c r="AA51" s="68">
        <f t="shared" si="16"/>
        <v>148.51514420697578</v>
      </c>
      <c r="AB51" s="68">
        <f t="shared" si="17"/>
        <v>83.465511044320394</v>
      </c>
      <c r="AC51" s="47">
        <f t="shared" si="18"/>
        <v>36.319124066967362</v>
      </c>
      <c r="AE51" s="4">
        <v>2049</v>
      </c>
      <c r="AF51" s="53">
        <f t="shared" si="19"/>
        <v>2.2839350611966309</v>
      </c>
      <c r="AG51" s="54">
        <f t="shared" si="20"/>
        <v>1.8475888157854221</v>
      </c>
      <c r="AH51" s="54">
        <f t="shared" si="21"/>
        <v>1.2361706466737379</v>
      </c>
      <c r="AI51" s="55">
        <f t="shared" si="22"/>
        <v>1.6863570811504518</v>
      </c>
      <c r="AJ51" s="44">
        <f t="shared" si="23"/>
        <v>1.3773676993489903</v>
      </c>
      <c r="AK51" s="47">
        <f t="shared" si="24"/>
        <v>1.6565090675902521</v>
      </c>
      <c r="AL51" s="47">
        <f t="shared" si="25"/>
        <v>36.319124066967362</v>
      </c>
      <c r="AM51" s="47">
        <f t="shared" si="26"/>
        <v>8.5018074877194003</v>
      </c>
      <c r="AN51" s="47">
        <f t="shared" si="7"/>
        <v>38.644579489633635</v>
      </c>
      <c r="AO51" s="54">
        <f t="shared" si="27"/>
        <v>0</v>
      </c>
      <c r="AP51" s="47">
        <f t="shared" si="28"/>
        <v>65.049633162655383</v>
      </c>
    </row>
    <row r="52" spans="2:42" x14ac:dyDescent="0.35">
      <c r="B52" s="4">
        <v>2050</v>
      </c>
      <c r="C52" s="66">
        <f t="shared" si="8"/>
        <v>2.7E-2</v>
      </c>
      <c r="D52" s="37">
        <f>MIN(550,D51*(1+C52))</f>
        <v>404.38166547315723</v>
      </c>
      <c r="E52" s="57">
        <f t="shared" si="0"/>
        <v>0.02</v>
      </c>
      <c r="F52" s="69">
        <f t="shared" si="29"/>
        <v>206.35719483507381</v>
      </c>
      <c r="G52" s="40">
        <f t="shared" si="1"/>
        <v>1959.6198998360578</v>
      </c>
      <c r="H52" s="70">
        <f t="shared" si="10"/>
        <v>1.7000000000000001E-2</v>
      </c>
      <c r="I52" s="42">
        <f t="shared" si="30"/>
        <v>2744.0402424480153</v>
      </c>
      <c r="J52" s="59">
        <f t="shared" si="2"/>
        <v>1E-3</v>
      </c>
      <c r="K52" s="60">
        <f t="shared" si="3"/>
        <v>6.0000000000000001E-3</v>
      </c>
      <c r="L52" s="60">
        <f t="shared" si="36"/>
        <v>8.9999999999999993E-3</v>
      </c>
      <c r="M52" s="71">
        <f>IF(SUM($K$33:K52)&lt;4%,M51*(I52/I51-J52-K52-L52),M51*(I52/I51-J52-L52))</f>
        <v>14118.209785607234</v>
      </c>
      <c r="N52" s="62">
        <f t="shared" si="5"/>
        <v>-2E-3</v>
      </c>
      <c r="O52" s="47">
        <f t="shared" si="31"/>
        <v>2.3636211202133124</v>
      </c>
      <c r="P52" s="47">
        <f t="shared" si="11"/>
        <v>65.392709724536886</v>
      </c>
      <c r="Q52" s="64">
        <f t="shared" si="6"/>
        <v>0.56200000000000006</v>
      </c>
      <c r="R52" s="47">
        <f t="shared" si="12"/>
        <v>36.75070286518973</v>
      </c>
      <c r="S52" s="59">
        <f t="shared" si="35"/>
        <v>0</v>
      </c>
      <c r="T52" s="72">
        <f t="shared" si="32"/>
        <v>0.5544</v>
      </c>
      <c r="U52" s="66">
        <f t="shared" si="34"/>
        <v>0</v>
      </c>
      <c r="V52" s="73">
        <f>IF(SUM($U$20:U52)&lt;55%,V51*(1-U52),V51)</f>
        <v>2.52</v>
      </c>
      <c r="W52" s="47">
        <f t="shared" si="14"/>
        <v>150.45005883088282</v>
      </c>
      <c r="X52" s="47">
        <f t="shared" si="15"/>
        <v>84.552933062956157</v>
      </c>
      <c r="Y52" s="51">
        <f t="shared" si="33"/>
        <v>0</v>
      </c>
      <c r="Z52" s="74">
        <f>SUM($Y$21:Y52)*1.3*3.7/1000000</f>
        <v>0</v>
      </c>
      <c r="AA52" s="68">
        <f t="shared" si="16"/>
        <v>150.45005883088282</v>
      </c>
      <c r="AB52" s="68">
        <f t="shared" si="17"/>
        <v>84.552933062956157</v>
      </c>
      <c r="AC52" s="47">
        <f t="shared" si="18"/>
        <v>36.75070286518973</v>
      </c>
      <c r="AE52" s="4">
        <v>2050</v>
      </c>
      <c r="AF52" s="53">
        <f t="shared" si="19"/>
        <v>2.3456013078489399</v>
      </c>
      <c r="AG52" s="54">
        <f t="shared" si="20"/>
        <v>1.8845405921011307</v>
      </c>
      <c r="AH52" s="54">
        <f t="shared" si="21"/>
        <v>1.2446541707195378</v>
      </c>
      <c r="AI52" s="55">
        <f t="shared" si="22"/>
        <v>1.7150251515300097</v>
      </c>
      <c r="AJ52" s="44">
        <f t="shared" si="23"/>
        <v>1.3870092732444332</v>
      </c>
      <c r="AK52" s="47">
        <f t="shared" si="24"/>
        <v>1.678090729424335</v>
      </c>
      <c r="AL52" s="47">
        <f t="shared" si="25"/>
        <v>36.75070286518973</v>
      </c>
      <c r="AM52" s="47">
        <f t="shared" si="26"/>
        <v>8.6200742979578813</v>
      </c>
      <c r="AN52" s="47">
        <f t="shared" si="7"/>
        <v>39.182155899808549</v>
      </c>
      <c r="AO52" s="54">
        <f t="shared" si="27"/>
        <v>0</v>
      </c>
      <c r="AP52" s="47">
        <f t="shared" si="28"/>
        <v>65.897125767926667</v>
      </c>
    </row>
    <row r="54" spans="2:42" x14ac:dyDescent="0.35">
      <c r="Y54" s="75"/>
    </row>
    <row r="55" spans="2:42" ht="15" customHeight="1" x14ac:dyDescent="0.35">
      <c r="X55" s="111" t="s">
        <v>71</v>
      </c>
      <c r="Y55" s="112"/>
      <c r="Z55" s="112"/>
      <c r="AA55" s="112"/>
      <c r="AB55" s="112"/>
      <c r="AC55" s="112"/>
      <c r="AD55" s="113"/>
    </row>
    <row r="56" spans="2:42" ht="15" customHeight="1" x14ac:dyDescent="0.35">
      <c r="X56" s="114"/>
      <c r="Y56" s="115"/>
      <c r="Z56" s="115"/>
      <c r="AA56" s="115"/>
      <c r="AB56" s="115"/>
      <c r="AC56" s="115"/>
      <c r="AD56" s="116"/>
    </row>
    <row r="57" spans="2:42" x14ac:dyDescent="0.35">
      <c r="X57" s="76"/>
      <c r="Y57" s="76"/>
      <c r="Z57" s="76"/>
      <c r="AA57" s="76"/>
      <c r="AB57" s="76"/>
      <c r="AC57" s="76"/>
      <c r="AD57" s="76"/>
    </row>
    <row r="58" spans="2:42" x14ac:dyDescent="0.35">
      <c r="X58" s="76"/>
      <c r="Y58" s="76"/>
      <c r="Z58" s="76"/>
      <c r="AA58" s="76"/>
      <c r="AB58" s="76"/>
      <c r="AC58" s="76"/>
      <c r="AD58" s="76"/>
    </row>
    <row r="59" spans="2:42" ht="15" customHeight="1" x14ac:dyDescent="0.35">
      <c r="X59" s="117" t="s">
        <v>72</v>
      </c>
      <c r="Y59" s="118"/>
      <c r="Z59" s="121">
        <v>80</v>
      </c>
      <c r="AA59" s="76"/>
      <c r="AB59" s="117" t="s">
        <v>73</v>
      </c>
      <c r="AC59" s="118"/>
      <c r="AD59" s="121">
        <f>7950</f>
        <v>7950</v>
      </c>
    </row>
    <row r="60" spans="2:42" ht="15" customHeight="1" x14ac:dyDescent="0.35">
      <c r="X60" s="119"/>
      <c r="Y60" s="120"/>
      <c r="Z60" s="122"/>
      <c r="AA60" s="76"/>
      <c r="AB60" s="119"/>
      <c r="AC60" s="120"/>
      <c r="AD60" s="122"/>
    </row>
    <row r="61" spans="2:42" ht="15" customHeight="1" x14ac:dyDescent="0.35">
      <c r="X61" s="117" t="s">
        <v>74</v>
      </c>
      <c r="Y61" s="118"/>
      <c r="Z61" s="121">
        <v>7</v>
      </c>
      <c r="AA61" s="76"/>
      <c r="AB61" s="117" t="s">
        <v>75</v>
      </c>
      <c r="AC61" s="118"/>
      <c r="AD61" s="121">
        <f>AD59*30%</f>
        <v>2385</v>
      </c>
    </row>
    <row r="62" spans="2:42" ht="15" customHeight="1" x14ac:dyDescent="0.35">
      <c r="X62" s="119"/>
      <c r="Y62" s="120"/>
      <c r="Z62" s="122"/>
      <c r="AA62" s="76"/>
      <c r="AB62" s="119"/>
      <c r="AC62" s="120"/>
      <c r="AD62" s="122"/>
    </row>
    <row r="63" spans="2:42" ht="15" customHeight="1" x14ac:dyDescent="0.35">
      <c r="X63" s="117" t="s">
        <v>76</v>
      </c>
      <c r="Y63" s="118"/>
      <c r="Z63" s="121">
        <f>R52-Z52</f>
        <v>36.75070286518973</v>
      </c>
      <c r="AA63" s="76"/>
      <c r="AB63" s="117" t="s">
        <v>77</v>
      </c>
      <c r="AC63" s="118"/>
      <c r="AD63" s="121">
        <f>L75</f>
        <v>893.64495167911889</v>
      </c>
    </row>
    <row r="64" spans="2:42" ht="15" customHeight="1" x14ac:dyDescent="0.35">
      <c r="X64" s="119"/>
      <c r="Y64" s="120"/>
      <c r="Z64" s="122"/>
      <c r="AA64" s="76"/>
      <c r="AB64" s="119"/>
      <c r="AC64" s="120"/>
      <c r="AD64" s="122"/>
    </row>
    <row r="65" spans="3:30" ht="15" customHeight="1" x14ac:dyDescent="0.35">
      <c r="X65" s="117" t="s">
        <v>78</v>
      </c>
      <c r="Y65" s="118"/>
      <c r="Z65" s="121">
        <f>X52-Z52</f>
        <v>84.552933062956157</v>
      </c>
      <c r="AA65" s="76"/>
      <c r="AB65" s="117" t="s">
        <v>79</v>
      </c>
      <c r="AC65" s="118"/>
      <c r="AD65" s="121">
        <f>M75</f>
        <v>2023.3117070481885</v>
      </c>
    </row>
    <row r="66" spans="3:30" ht="15" customHeight="1" x14ac:dyDescent="0.35">
      <c r="X66" s="119"/>
      <c r="Y66" s="120"/>
      <c r="Z66" s="122"/>
      <c r="AA66" s="76"/>
      <c r="AB66" s="119"/>
      <c r="AC66" s="120"/>
      <c r="AD66" s="122"/>
    </row>
    <row r="69" spans="3:30" ht="15" customHeight="1" x14ac:dyDescent="0.35"/>
    <row r="70" spans="3:30" ht="15" customHeight="1" x14ac:dyDescent="0.35">
      <c r="J70" s="76"/>
      <c r="K70" s="76"/>
      <c r="L70" s="4" t="s">
        <v>80</v>
      </c>
      <c r="M70" s="4" t="s">
        <v>81</v>
      </c>
    </row>
    <row r="71" spans="3:30" ht="15" customHeight="1" x14ac:dyDescent="0.35">
      <c r="C71" s="123" t="s">
        <v>82</v>
      </c>
      <c r="D71" s="123"/>
      <c r="E71" s="123"/>
      <c r="F71" s="123"/>
      <c r="G71" s="123"/>
      <c r="H71" s="123"/>
      <c r="J71" s="80" t="s">
        <v>83</v>
      </c>
      <c r="K71" s="81"/>
      <c r="L71" s="109">
        <f>SUM(R22:R31)</f>
        <v>251.03626879597957</v>
      </c>
      <c r="M71" s="109">
        <f>SUM(X22:X31)</f>
        <v>561.40160152204135</v>
      </c>
    </row>
    <row r="72" spans="3:30" ht="15" customHeight="1" x14ac:dyDescent="0.35">
      <c r="C72" s="124" t="s">
        <v>3</v>
      </c>
      <c r="D72" s="124"/>
      <c r="E72" s="1"/>
      <c r="F72" s="4">
        <v>2018</v>
      </c>
      <c r="G72" s="4">
        <v>2050</v>
      </c>
      <c r="H72" s="4" t="s">
        <v>84</v>
      </c>
      <c r="J72" s="82"/>
      <c r="K72" s="83"/>
      <c r="L72" s="109"/>
      <c r="M72" s="109"/>
    </row>
    <row r="73" spans="3:30" ht="15" customHeight="1" x14ac:dyDescent="0.35">
      <c r="C73" s="88" t="s">
        <v>9</v>
      </c>
      <c r="D73" s="88"/>
      <c r="E73" s="7" t="s">
        <v>10</v>
      </c>
      <c r="F73" s="77">
        <v>172.4</v>
      </c>
      <c r="G73" s="77">
        <f>D52</f>
        <v>404.38166547315723</v>
      </c>
      <c r="H73" s="78">
        <f>G73/F73-1</f>
        <v>1.3456013078489399</v>
      </c>
      <c r="J73" s="80" t="s">
        <v>85</v>
      </c>
      <c r="K73" s="81"/>
      <c r="L73" s="109">
        <f>SUM(R32:R51)</f>
        <v>642.60868288313929</v>
      </c>
      <c r="M73" s="109">
        <f>SUM(X32:X51)</f>
        <v>1461.9101055261472</v>
      </c>
      <c r="X73" s="111" t="s">
        <v>86</v>
      </c>
      <c r="Y73" s="112"/>
      <c r="Z73" s="113"/>
    </row>
    <row r="74" spans="3:30" ht="15" customHeight="1" x14ac:dyDescent="0.35">
      <c r="C74" s="88" t="s">
        <v>13</v>
      </c>
      <c r="D74" s="88"/>
      <c r="E74" s="7"/>
      <c r="F74" s="79">
        <v>109.5</v>
      </c>
      <c r="G74" s="79">
        <f>F52</f>
        <v>206.35719483507381</v>
      </c>
      <c r="H74" s="78">
        <f t="shared" ref="H74:H80" si="37">G74/F74-1</f>
        <v>0.88454059210113067</v>
      </c>
      <c r="J74" s="82"/>
      <c r="K74" s="83"/>
      <c r="L74" s="109"/>
      <c r="M74" s="109"/>
      <c r="X74" s="114"/>
      <c r="Y74" s="115"/>
      <c r="Z74" s="116"/>
    </row>
    <row r="75" spans="3:30" ht="15" customHeight="1" x14ac:dyDescent="0.35">
      <c r="C75" s="88" t="s">
        <v>87</v>
      </c>
      <c r="D75" s="88"/>
      <c r="E75" s="7" t="s">
        <v>88</v>
      </c>
      <c r="F75" s="79">
        <f>G20</f>
        <v>1574.4292237442924</v>
      </c>
      <c r="G75" s="79">
        <f>G52</f>
        <v>1959.6198998360578</v>
      </c>
      <c r="H75" s="78">
        <f t="shared" si="37"/>
        <v>0.24465417071953777</v>
      </c>
      <c r="J75" s="80" t="s">
        <v>89</v>
      </c>
      <c r="K75" s="81"/>
      <c r="L75" s="109">
        <f>L73+L71</f>
        <v>893.64495167911889</v>
      </c>
      <c r="M75" s="109">
        <f>M73+M71</f>
        <v>2023.3117070481885</v>
      </c>
      <c r="X75" s="76"/>
      <c r="Y75" s="76"/>
      <c r="Z75" s="76"/>
    </row>
    <row r="76" spans="3:30" ht="15" customHeight="1" thickBot="1" x14ac:dyDescent="0.4">
      <c r="C76" s="88" t="s">
        <v>16</v>
      </c>
      <c r="D76" s="88"/>
      <c r="E76" s="7" t="s">
        <v>17</v>
      </c>
      <c r="F76" s="79">
        <v>1600</v>
      </c>
      <c r="G76" s="79">
        <f>I52</f>
        <v>2744.0402424480153</v>
      </c>
      <c r="H76" s="78">
        <f t="shared" si="37"/>
        <v>0.71502515153000967</v>
      </c>
      <c r="J76" s="91"/>
      <c r="K76" s="92"/>
      <c r="L76" s="110"/>
      <c r="M76" s="110"/>
      <c r="X76" s="80" t="s">
        <v>90</v>
      </c>
      <c r="Y76" s="81"/>
      <c r="Z76" s="89">
        <v>-0.36</v>
      </c>
    </row>
    <row r="77" spans="3:30" ht="15" customHeight="1" thickTop="1" x14ac:dyDescent="0.35">
      <c r="C77" s="88" t="s">
        <v>20</v>
      </c>
      <c r="D77" s="88"/>
      <c r="E77" s="7" t="s">
        <v>21</v>
      </c>
      <c r="F77" s="79">
        <f>((5+17.7*2)*1000000/2.52)/1575000*1000</f>
        <v>10178.886369362561</v>
      </c>
      <c r="G77" s="79">
        <f>M52</f>
        <v>14118.209785607234</v>
      </c>
      <c r="H77" s="78">
        <f t="shared" si="37"/>
        <v>0.38700927324443324</v>
      </c>
      <c r="J77" s="97" t="s">
        <v>91</v>
      </c>
      <c r="K77" s="98"/>
      <c r="L77" s="103">
        <f>P22/(D22*I22)*1000000*0.85</f>
        <v>117.50252836014236</v>
      </c>
      <c r="M77" s="104"/>
      <c r="X77" s="82"/>
      <c r="Y77" s="83"/>
      <c r="Z77" s="90"/>
    </row>
    <row r="78" spans="3:30" ht="15" customHeight="1" x14ac:dyDescent="0.35">
      <c r="C78" s="88" t="s">
        <v>92</v>
      </c>
      <c r="D78" s="88"/>
      <c r="E78" s="7" t="s">
        <v>25</v>
      </c>
      <c r="F78" s="79">
        <v>2.52</v>
      </c>
      <c r="G78" s="79">
        <f>O52</f>
        <v>2.3636211202133124</v>
      </c>
      <c r="H78" s="78">
        <f t="shared" si="37"/>
        <v>-6.2055111026463328E-2</v>
      </c>
      <c r="J78" s="82"/>
      <c r="K78" s="83"/>
      <c r="L78" s="105"/>
      <c r="M78" s="106"/>
      <c r="X78" s="80" t="s">
        <v>93</v>
      </c>
      <c r="Y78" s="81"/>
      <c r="Z78" s="89">
        <v>-0.32</v>
      </c>
    </row>
    <row r="79" spans="3:30" ht="15" customHeight="1" x14ac:dyDescent="0.35">
      <c r="C79" s="88" t="s">
        <v>28</v>
      </c>
      <c r="D79" s="88"/>
      <c r="E79" s="7" t="s">
        <v>25</v>
      </c>
      <c r="F79" s="79">
        <f>0.22*F78</f>
        <v>0.5544</v>
      </c>
      <c r="G79" s="79">
        <f>T52</f>
        <v>0.5544</v>
      </c>
      <c r="H79" s="78">
        <f t="shared" si="37"/>
        <v>0</v>
      </c>
      <c r="J79" s="80" t="s">
        <v>94</v>
      </c>
      <c r="K79" s="81"/>
      <c r="L79" s="107">
        <f>P52/(D52*I52)*1000000*0.85</f>
        <v>50.091764119533281</v>
      </c>
      <c r="M79" s="108"/>
      <c r="X79" s="82"/>
      <c r="Y79" s="83"/>
      <c r="Z79" s="90"/>
    </row>
    <row r="80" spans="3:30" ht="15" customHeight="1" x14ac:dyDescent="0.35">
      <c r="C80" s="88" t="s">
        <v>95</v>
      </c>
      <c r="D80" s="88"/>
      <c r="E80" s="7" t="s">
        <v>25</v>
      </c>
      <c r="F80" s="79">
        <v>2.52</v>
      </c>
      <c r="G80" s="79">
        <f>V52</f>
        <v>2.52</v>
      </c>
      <c r="H80" s="78">
        <f t="shared" si="37"/>
        <v>0</v>
      </c>
      <c r="J80" s="82"/>
      <c r="K80" s="83"/>
      <c r="L80" s="105"/>
      <c r="M80" s="106"/>
      <c r="X80" s="80" t="s">
        <v>96</v>
      </c>
      <c r="Y80" s="81"/>
      <c r="Z80" s="89">
        <v>-0.72</v>
      </c>
    </row>
    <row r="81" spans="10:26" ht="15" customHeight="1" x14ac:dyDescent="0.35">
      <c r="J81" s="80" t="s">
        <v>97</v>
      </c>
      <c r="K81" s="81"/>
      <c r="L81" s="93">
        <f>L79/L77-1</f>
        <v>-0.5736962870619835</v>
      </c>
      <c r="M81" s="94"/>
      <c r="X81" s="82"/>
      <c r="Y81" s="83"/>
      <c r="Z81" s="90"/>
    </row>
    <row r="82" spans="10:26" ht="15" customHeight="1" thickBot="1" x14ac:dyDescent="0.4">
      <c r="J82" s="91"/>
      <c r="K82" s="92"/>
      <c r="L82" s="95"/>
      <c r="M82" s="96"/>
      <c r="X82" s="80" t="s">
        <v>98</v>
      </c>
      <c r="Y82" s="81"/>
      <c r="Z82" s="89">
        <f>X32/X20-1</f>
        <v>0.23913979924643392</v>
      </c>
    </row>
    <row r="83" spans="10:26" ht="15" customHeight="1" thickTop="1" x14ac:dyDescent="0.35">
      <c r="J83" s="97" t="s">
        <v>99</v>
      </c>
      <c r="K83" s="98"/>
      <c r="L83" s="99">
        <f>SUM(Y20:Y52)</f>
        <v>0</v>
      </c>
      <c r="M83" s="100"/>
      <c r="X83" s="82"/>
      <c r="Y83" s="83"/>
      <c r="Z83" s="90"/>
    </row>
    <row r="84" spans="10:26" ht="15" customHeight="1" x14ac:dyDescent="0.35">
      <c r="J84" s="82"/>
      <c r="K84" s="83"/>
      <c r="L84" s="101"/>
      <c r="M84" s="102"/>
    </row>
    <row r="85" spans="10:26" ht="15" customHeight="1" x14ac:dyDescent="0.35">
      <c r="J85" s="80" t="s">
        <v>100</v>
      </c>
      <c r="K85" s="81"/>
      <c r="L85" s="84">
        <f>SUM(Z20:Z52)</f>
        <v>0</v>
      </c>
      <c r="M85" s="85"/>
    </row>
    <row r="86" spans="10:26" ht="15" customHeight="1" x14ac:dyDescent="0.35">
      <c r="J86" s="82"/>
      <c r="K86" s="83"/>
      <c r="L86" s="86"/>
      <c r="M86" s="87"/>
    </row>
    <row r="87" spans="10:26" ht="15" customHeight="1" x14ac:dyDescent="0.35"/>
    <row r="88" spans="10:26" ht="15" customHeight="1" x14ac:dyDescent="0.35"/>
  </sheetData>
  <mergeCells count="99">
    <mergeCell ref="S6:U6"/>
    <mergeCell ref="B7:E7"/>
    <mergeCell ref="G7:J7"/>
    <mergeCell ref="K7:M7"/>
    <mergeCell ref="P7:S7"/>
    <mergeCell ref="T7:V7"/>
    <mergeCell ref="B8:C8"/>
    <mergeCell ref="G8:I8"/>
    <mergeCell ref="P8:R8"/>
    <mergeCell ref="B9:C9"/>
    <mergeCell ref="G9:I9"/>
    <mergeCell ref="P9:R9"/>
    <mergeCell ref="B10:C10"/>
    <mergeCell ref="G10:I10"/>
    <mergeCell ref="P10:R10"/>
    <mergeCell ref="B11:C11"/>
    <mergeCell ref="G11:I11"/>
    <mergeCell ref="P11:R11"/>
    <mergeCell ref="B12:C12"/>
    <mergeCell ref="G12:I12"/>
    <mergeCell ref="P12:R12"/>
    <mergeCell ref="B13:C13"/>
    <mergeCell ref="G13:I13"/>
    <mergeCell ref="P13:R13"/>
    <mergeCell ref="C17:D17"/>
    <mergeCell ref="E17:F17"/>
    <mergeCell ref="G17:G18"/>
    <mergeCell ref="H17:I17"/>
    <mergeCell ref="J17:M17"/>
    <mergeCell ref="B14:C14"/>
    <mergeCell ref="G14:I14"/>
    <mergeCell ref="P14:R14"/>
    <mergeCell ref="B15:C15"/>
    <mergeCell ref="G15:I15"/>
    <mergeCell ref="X59:Y60"/>
    <mergeCell ref="Z59:Z60"/>
    <mergeCell ref="AB59:AC60"/>
    <mergeCell ref="AD59:AD60"/>
    <mergeCell ref="N17:O17"/>
    <mergeCell ref="P17:P18"/>
    <mergeCell ref="S17:T17"/>
    <mergeCell ref="U17:V17"/>
    <mergeCell ref="W17:W18"/>
    <mergeCell ref="Y17:Z17"/>
    <mergeCell ref="AA17:AA18"/>
    <mergeCell ref="AB17:AB18"/>
    <mergeCell ref="AC17:AC18"/>
    <mergeCell ref="AE17:AJ17"/>
    <mergeCell ref="X55:AD56"/>
    <mergeCell ref="X61:Y62"/>
    <mergeCell ref="Z61:Z62"/>
    <mergeCell ref="AB61:AC62"/>
    <mergeCell ref="AD61:AD62"/>
    <mergeCell ref="X63:Y64"/>
    <mergeCell ref="Z63:Z64"/>
    <mergeCell ref="AB63:AC64"/>
    <mergeCell ref="AD63:AD64"/>
    <mergeCell ref="X65:Y66"/>
    <mergeCell ref="Z65:Z66"/>
    <mergeCell ref="AB65:AC66"/>
    <mergeCell ref="AD65:AD66"/>
    <mergeCell ref="C71:H71"/>
    <mergeCell ref="J71:K72"/>
    <mergeCell ref="L71:L72"/>
    <mergeCell ref="M71:M72"/>
    <mergeCell ref="C72:D72"/>
    <mergeCell ref="C73:D73"/>
    <mergeCell ref="J73:K74"/>
    <mergeCell ref="L73:L74"/>
    <mergeCell ref="M73:M74"/>
    <mergeCell ref="X73:Z74"/>
    <mergeCell ref="C74:D74"/>
    <mergeCell ref="C75:D75"/>
    <mergeCell ref="J75:K76"/>
    <mergeCell ref="L75:L76"/>
    <mergeCell ref="M75:M76"/>
    <mergeCell ref="C76:D76"/>
    <mergeCell ref="Z76:Z77"/>
    <mergeCell ref="C77:D77"/>
    <mergeCell ref="J77:K78"/>
    <mergeCell ref="L77:M78"/>
    <mergeCell ref="C78:D78"/>
    <mergeCell ref="X78:Y79"/>
    <mergeCell ref="Z78:Z79"/>
    <mergeCell ref="C79:D79"/>
    <mergeCell ref="J79:K80"/>
    <mergeCell ref="L79:M80"/>
    <mergeCell ref="X76:Y77"/>
    <mergeCell ref="J85:K86"/>
    <mergeCell ref="L85:M86"/>
    <mergeCell ref="C80:D80"/>
    <mergeCell ref="X80:Y81"/>
    <mergeCell ref="Z80:Z81"/>
    <mergeCell ref="J81:K82"/>
    <mergeCell ref="L81:M82"/>
    <mergeCell ref="X82:Y83"/>
    <mergeCell ref="Z82:Z83"/>
    <mergeCell ref="J83:K84"/>
    <mergeCell ref="L83:M8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F33B5-815C-4FC1-9F0E-E68524246745}">
  <dimension ref="B2:AP87"/>
  <sheetViews>
    <sheetView zoomScale="80" zoomScaleNormal="80" workbookViewId="0">
      <pane xSplit="2" ySplit="17" topLeftCell="C18" activePane="bottomRight" state="frozen"/>
      <selection pane="topRight" activeCell="E1" sqref="E1"/>
      <selection pane="bottomLeft" activeCell="A16" sqref="A16"/>
      <selection pane="bottomRight" activeCell="A9" sqref="A9"/>
    </sheetView>
  </sheetViews>
  <sheetFormatPr baseColWidth="10" defaultRowHeight="14.5" x14ac:dyDescent="0.35"/>
  <cols>
    <col min="1" max="1" width="20.81640625" customWidth="1"/>
    <col min="2" max="2" width="12.81640625" customWidth="1"/>
    <col min="3" max="3" width="14.1796875" customWidth="1"/>
    <col min="4" max="5" width="13.453125" customWidth="1"/>
    <col min="6" max="6" width="14.1796875" customWidth="1"/>
    <col min="7" max="7" width="12.81640625" customWidth="1"/>
    <col min="9" max="9" width="19.26953125" customWidth="1"/>
    <col min="10" max="10" width="12.54296875" customWidth="1"/>
    <col min="11" max="12" width="14.7265625" customWidth="1"/>
    <col min="13" max="13" width="15.81640625" customWidth="1"/>
    <col min="14" max="14" width="11.54296875" bestFit="1" customWidth="1"/>
    <col min="15" max="15" width="14.1796875" customWidth="1"/>
    <col min="16" max="18" width="16.1796875" customWidth="1"/>
    <col min="20" max="20" width="14.26953125" customWidth="1"/>
    <col min="22" max="22" width="13.54296875" customWidth="1"/>
    <col min="23" max="24" width="14.81640625" customWidth="1"/>
    <col min="25" max="25" width="16.54296875" customWidth="1"/>
    <col min="26" max="26" width="13.54296875" customWidth="1"/>
    <col min="28" max="28" width="14.26953125" customWidth="1"/>
    <col min="29" max="29" width="14.453125" customWidth="1"/>
    <col min="34" max="34" width="14.81640625" customWidth="1"/>
    <col min="35" max="35" width="13.7265625" customWidth="1"/>
    <col min="36" max="37" width="16.26953125" customWidth="1"/>
    <col min="38" max="42" width="16" customWidth="1"/>
  </cols>
  <sheetData>
    <row r="2" spans="2:37" ht="23.5" x14ac:dyDescent="0.55000000000000004">
      <c r="B2" s="148" t="s">
        <v>106</v>
      </c>
      <c r="C2" s="149"/>
      <c r="D2" s="149"/>
      <c r="E2" s="149"/>
      <c r="F2" s="149"/>
      <c r="G2" s="149"/>
      <c r="H2" s="149"/>
      <c r="I2" s="149"/>
    </row>
    <row r="3" spans="2:37" ht="23.5" x14ac:dyDescent="0.55000000000000004">
      <c r="B3" s="148"/>
      <c r="C3" s="149"/>
      <c r="D3" s="149"/>
      <c r="E3" s="149"/>
      <c r="F3" s="149"/>
      <c r="G3" s="149"/>
      <c r="H3" s="149"/>
      <c r="I3" s="149"/>
    </row>
    <row r="5" spans="2:37" x14ac:dyDescent="0.35">
      <c r="S5" s="142" t="s">
        <v>0</v>
      </c>
      <c r="T5" s="142"/>
      <c r="U5" s="142"/>
    </row>
    <row r="6" spans="2:37" x14ac:dyDescent="0.35">
      <c r="B6" s="123" t="s">
        <v>1</v>
      </c>
      <c r="C6" s="123"/>
      <c r="D6" s="123"/>
      <c r="E6" s="123"/>
      <c r="G6" s="143" t="s">
        <v>2</v>
      </c>
      <c r="H6" s="144"/>
      <c r="I6" s="144"/>
      <c r="J6" s="144"/>
      <c r="K6" s="145" t="s">
        <v>0</v>
      </c>
      <c r="L6" s="145"/>
      <c r="M6" s="145"/>
      <c r="P6" s="123" t="s">
        <v>2</v>
      </c>
      <c r="Q6" s="123"/>
      <c r="R6" s="123"/>
      <c r="S6" s="123"/>
      <c r="T6" s="142" t="s">
        <v>0</v>
      </c>
      <c r="U6" s="142"/>
      <c r="V6" s="142"/>
    </row>
    <row r="7" spans="2:37" x14ac:dyDescent="0.35">
      <c r="B7" s="124" t="s">
        <v>3</v>
      </c>
      <c r="C7" s="124"/>
      <c r="D7" s="1"/>
      <c r="E7" s="2">
        <v>2018</v>
      </c>
      <c r="F7" s="3"/>
      <c r="G7" s="139" t="s">
        <v>4</v>
      </c>
      <c r="H7" s="140"/>
      <c r="I7" s="141"/>
      <c r="J7" s="4" t="s">
        <v>5</v>
      </c>
      <c r="K7" s="5" t="s">
        <v>6</v>
      </c>
      <c r="L7" s="4" t="s">
        <v>7</v>
      </c>
      <c r="M7" s="6" t="s">
        <v>8</v>
      </c>
      <c r="P7" s="123" t="s">
        <v>4</v>
      </c>
      <c r="Q7" s="123"/>
      <c r="R7" s="123"/>
      <c r="S7" s="4" t="s">
        <v>5</v>
      </c>
      <c r="T7" s="5" t="s">
        <v>6</v>
      </c>
      <c r="U7" s="4" t="s">
        <v>7</v>
      </c>
      <c r="V7" s="6" t="s">
        <v>8</v>
      </c>
    </row>
    <row r="8" spans="2:37" ht="15" customHeight="1" x14ac:dyDescent="0.35">
      <c r="B8" s="88" t="s">
        <v>9</v>
      </c>
      <c r="C8" s="88"/>
      <c r="D8" s="7" t="s">
        <v>10</v>
      </c>
      <c r="E8" s="8">
        <v>72.3</v>
      </c>
      <c r="F8" s="3"/>
      <c r="G8" s="88" t="s">
        <v>11</v>
      </c>
      <c r="H8" s="88"/>
      <c r="I8" s="88"/>
      <c r="J8" s="9">
        <v>2.3E-2</v>
      </c>
      <c r="K8" s="10">
        <v>1.2E-2</v>
      </c>
      <c r="L8" s="10">
        <v>2.7E-2</v>
      </c>
      <c r="M8" s="11">
        <v>5.5E-2</v>
      </c>
      <c r="P8" s="88" t="s">
        <v>12</v>
      </c>
      <c r="Q8" s="88"/>
      <c r="R8" s="88"/>
      <c r="S8" s="9">
        <v>0</v>
      </c>
      <c r="T8" s="10">
        <v>-3.0000000000000001E-3</v>
      </c>
      <c r="U8" s="10">
        <v>0</v>
      </c>
      <c r="V8" s="11">
        <v>6.0000000000000001E-3</v>
      </c>
    </row>
    <row r="9" spans="2:37" ht="15" customHeight="1" x14ac:dyDescent="0.35">
      <c r="B9" s="88" t="s">
        <v>13</v>
      </c>
      <c r="C9" s="88"/>
      <c r="D9" s="7"/>
      <c r="E9" s="12">
        <v>150</v>
      </c>
      <c r="F9" s="3"/>
      <c r="G9" s="88" t="s">
        <v>14</v>
      </c>
      <c r="H9" s="88"/>
      <c r="I9" s="88"/>
      <c r="J9" s="9">
        <v>2.5999999999999999E-2</v>
      </c>
      <c r="K9" s="10">
        <v>0</v>
      </c>
      <c r="L9" s="10">
        <v>1.4E-2</v>
      </c>
      <c r="M9" s="11">
        <v>3.6999999999999998E-2</v>
      </c>
      <c r="P9" s="88" t="s">
        <v>15</v>
      </c>
      <c r="Q9" s="88"/>
      <c r="R9" s="88"/>
      <c r="S9" s="9">
        <v>0.05</v>
      </c>
      <c r="T9" s="10">
        <v>0</v>
      </c>
      <c r="U9" s="10">
        <v>0.05</v>
      </c>
      <c r="V9" s="11">
        <v>0.09</v>
      </c>
    </row>
    <row r="10" spans="2:37" ht="15" customHeight="1" x14ac:dyDescent="0.35">
      <c r="B10" s="88" t="s">
        <v>16</v>
      </c>
      <c r="C10" s="88"/>
      <c r="D10" s="7" t="s">
        <v>17</v>
      </c>
      <c r="E10" s="12">
        <v>2429</v>
      </c>
      <c r="F10" s="3"/>
      <c r="G10" s="88" t="s">
        <v>18</v>
      </c>
      <c r="H10" s="88"/>
      <c r="I10" s="88"/>
      <c r="J10" s="9">
        <v>1.6E-2</v>
      </c>
      <c r="K10" s="10">
        <v>0</v>
      </c>
      <c r="L10" s="10">
        <v>1.7000000000000001E-2</v>
      </c>
      <c r="M10" s="11">
        <v>3.5000000000000003E-2</v>
      </c>
      <c r="P10" s="88" t="s">
        <v>19</v>
      </c>
      <c r="Q10" s="88"/>
      <c r="R10" s="88"/>
      <c r="S10" s="13">
        <v>15000</v>
      </c>
      <c r="T10" s="14">
        <v>0</v>
      </c>
      <c r="U10" s="14">
        <v>15000</v>
      </c>
      <c r="V10" s="15">
        <v>80000</v>
      </c>
    </row>
    <row r="11" spans="2:37" ht="15" customHeight="1" x14ac:dyDescent="0.35">
      <c r="B11" s="88" t="s">
        <v>20</v>
      </c>
      <c r="C11" s="88"/>
      <c r="D11" s="7" t="s">
        <v>21</v>
      </c>
      <c r="E11" s="12">
        <f>(27.5*2/2.52)*1000</f>
        <v>21825.396825396827</v>
      </c>
      <c r="F11" s="3"/>
      <c r="G11" s="88" t="s">
        <v>22</v>
      </c>
      <c r="H11" s="88"/>
      <c r="I11" s="88"/>
      <c r="J11" s="16">
        <v>1E-3</v>
      </c>
      <c r="K11" s="17">
        <v>1E-3</v>
      </c>
      <c r="L11" s="17">
        <v>1E-3</v>
      </c>
      <c r="M11" s="18">
        <v>1E-3</v>
      </c>
      <c r="P11" s="88" t="s">
        <v>23</v>
      </c>
      <c r="Q11" s="88"/>
      <c r="R11" s="88"/>
      <c r="S11" s="19">
        <v>0.5</v>
      </c>
      <c r="T11" s="18">
        <v>0.53</v>
      </c>
      <c r="U11" s="18">
        <v>0.56200000000000006</v>
      </c>
      <c r="V11" s="18">
        <v>0.64</v>
      </c>
    </row>
    <row r="12" spans="2:37" ht="15" customHeight="1" x14ac:dyDescent="0.35">
      <c r="B12" s="88" t="s">
        <v>24</v>
      </c>
      <c r="C12" s="88"/>
      <c r="D12" s="7" t="s">
        <v>25</v>
      </c>
      <c r="E12" s="12">
        <v>2.52</v>
      </c>
      <c r="F12" s="3"/>
      <c r="G12" s="88" t="s">
        <v>26</v>
      </c>
      <c r="H12" s="88"/>
      <c r="I12" s="88"/>
      <c r="J12" s="19">
        <v>6.0000000000000001E-3</v>
      </c>
      <c r="K12" s="17">
        <v>0</v>
      </c>
      <c r="L12" s="17">
        <v>6.0000000000000001E-3</v>
      </c>
      <c r="M12" s="18">
        <v>1.2E-2</v>
      </c>
      <c r="P12" s="88" t="s">
        <v>27</v>
      </c>
      <c r="Q12" s="88"/>
      <c r="R12" s="88"/>
      <c r="S12" s="19">
        <v>3.0000000000000001E-3</v>
      </c>
      <c r="T12" s="18">
        <v>0</v>
      </c>
      <c r="U12" s="18">
        <v>2.5000000000000001E-3</v>
      </c>
      <c r="V12" s="18">
        <v>8.9999999999999993E-3</v>
      </c>
    </row>
    <row r="13" spans="2:37" ht="15.75" customHeight="1" x14ac:dyDescent="0.35">
      <c r="B13" s="88" t="s">
        <v>28</v>
      </c>
      <c r="C13" s="88"/>
      <c r="D13" s="7" t="s">
        <v>25</v>
      </c>
      <c r="E13" s="12">
        <f>0.22*E12</f>
        <v>0.5544</v>
      </c>
      <c r="F13" s="3"/>
      <c r="G13" s="88" t="s">
        <v>29</v>
      </c>
      <c r="H13" s="88"/>
      <c r="I13" s="88"/>
      <c r="J13" s="19">
        <v>2E-3</v>
      </c>
      <c r="K13" s="18">
        <v>0</v>
      </c>
      <c r="L13" s="18">
        <v>2E-3</v>
      </c>
      <c r="M13" s="18">
        <v>4.0000000000000001E-3</v>
      </c>
      <c r="P13" s="88" t="s">
        <v>30</v>
      </c>
      <c r="Q13" s="88"/>
      <c r="R13" s="88"/>
      <c r="S13" s="20">
        <v>2030</v>
      </c>
      <c r="T13" s="21">
        <v>2030</v>
      </c>
      <c r="U13" s="21">
        <v>2040</v>
      </c>
      <c r="V13" s="21">
        <v>2050</v>
      </c>
    </row>
    <row r="14" spans="2:37" x14ac:dyDescent="0.35">
      <c r="B14" s="88" t="s">
        <v>31</v>
      </c>
      <c r="C14" s="88"/>
      <c r="D14" s="7" t="s">
        <v>25</v>
      </c>
      <c r="E14" s="12">
        <v>2.52</v>
      </c>
      <c r="F14" s="3"/>
      <c r="G14" s="88" t="s">
        <v>32</v>
      </c>
      <c r="H14" s="88"/>
      <c r="I14" s="88"/>
      <c r="J14" s="19">
        <v>1E-3</v>
      </c>
      <c r="K14" s="18">
        <v>0</v>
      </c>
      <c r="L14" s="18">
        <v>1E-3</v>
      </c>
      <c r="M14" s="18">
        <v>2E-3</v>
      </c>
    </row>
    <row r="15" spans="2:37" x14ac:dyDescent="0.35">
      <c r="D15" s="3"/>
      <c r="E15" s="3"/>
      <c r="F15" s="3"/>
      <c r="G15" s="3"/>
      <c r="H15" s="3"/>
    </row>
    <row r="16" spans="2:37" ht="15" customHeight="1" x14ac:dyDescent="0.35">
      <c r="C16" s="132" t="s">
        <v>11</v>
      </c>
      <c r="D16" s="132"/>
      <c r="E16" s="133" t="s">
        <v>13</v>
      </c>
      <c r="F16" s="133"/>
      <c r="G16" s="134" t="s">
        <v>33</v>
      </c>
      <c r="H16" s="135" t="s">
        <v>34</v>
      </c>
      <c r="I16" s="135"/>
      <c r="J16" s="136" t="s">
        <v>35</v>
      </c>
      <c r="K16" s="137"/>
      <c r="L16" s="137"/>
      <c r="M16" s="138"/>
      <c r="N16" s="128" t="s">
        <v>36</v>
      </c>
      <c r="O16" s="128"/>
      <c r="P16" s="125" t="s">
        <v>37</v>
      </c>
      <c r="Q16" s="22"/>
      <c r="R16" s="22"/>
      <c r="S16" s="129" t="s">
        <v>38</v>
      </c>
      <c r="T16" s="129"/>
      <c r="U16" s="130" t="s">
        <v>39</v>
      </c>
      <c r="V16" s="130"/>
      <c r="W16" s="125" t="s">
        <v>40</v>
      </c>
      <c r="X16" s="22"/>
      <c r="Y16" s="131" t="s">
        <v>41</v>
      </c>
      <c r="Z16" s="131"/>
      <c r="AA16" s="125" t="s">
        <v>42</v>
      </c>
      <c r="AB16" s="125" t="s">
        <v>43</v>
      </c>
      <c r="AC16" s="125" t="s">
        <v>44</v>
      </c>
      <c r="AE16" s="127" t="s">
        <v>45</v>
      </c>
      <c r="AF16" s="127"/>
      <c r="AG16" s="127"/>
      <c r="AH16" s="127"/>
      <c r="AI16" s="127"/>
      <c r="AJ16" s="127"/>
      <c r="AK16" s="23"/>
    </row>
    <row r="17" spans="2:42" ht="58" x14ac:dyDescent="0.35">
      <c r="B17" s="5" t="s">
        <v>46</v>
      </c>
      <c r="C17" s="24" t="s">
        <v>47</v>
      </c>
      <c r="D17" s="25" t="s">
        <v>48</v>
      </c>
      <c r="E17" s="26" t="s">
        <v>47</v>
      </c>
      <c r="F17" s="27" t="s">
        <v>49</v>
      </c>
      <c r="G17" s="134"/>
      <c r="H17" s="28" t="s">
        <v>47</v>
      </c>
      <c r="I17" s="29" t="s">
        <v>50</v>
      </c>
      <c r="J17" s="30" t="s">
        <v>51</v>
      </c>
      <c r="K17" s="30" t="s">
        <v>52</v>
      </c>
      <c r="L17" s="31" t="s">
        <v>27</v>
      </c>
      <c r="M17" s="32" t="s">
        <v>53</v>
      </c>
      <c r="N17" s="33" t="s">
        <v>47</v>
      </c>
      <c r="O17" s="34" t="s">
        <v>54</v>
      </c>
      <c r="P17" s="126"/>
      <c r="Q17" s="33" t="s">
        <v>23</v>
      </c>
      <c r="R17" s="34" t="s">
        <v>55</v>
      </c>
      <c r="S17" s="30" t="s">
        <v>47</v>
      </c>
      <c r="T17" s="35" t="s">
        <v>56</v>
      </c>
      <c r="U17" s="24" t="s">
        <v>47</v>
      </c>
      <c r="V17" s="25" t="s">
        <v>57</v>
      </c>
      <c r="W17" s="126"/>
      <c r="X17" s="36" t="s">
        <v>58</v>
      </c>
      <c r="Y17" s="26" t="s">
        <v>59</v>
      </c>
      <c r="Z17" s="27" t="s">
        <v>60</v>
      </c>
      <c r="AA17" s="126"/>
      <c r="AB17" s="126"/>
      <c r="AC17" s="126"/>
      <c r="AE17" s="5" t="s">
        <v>46</v>
      </c>
      <c r="AF17" s="25" t="s">
        <v>9</v>
      </c>
      <c r="AG17" s="27" t="s">
        <v>61</v>
      </c>
      <c r="AH17" s="27" t="s">
        <v>62</v>
      </c>
      <c r="AI17" s="29" t="s">
        <v>63</v>
      </c>
      <c r="AJ17" s="32" t="s">
        <v>64</v>
      </c>
      <c r="AK17" s="34" t="s">
        <v>65</v>
      </c>
      <c r="AL17" s="34" t="s">
        <v>66</v>
      </c>
      <c r="AM17" s="34" t="s">
        <v>67</v>
      </c>
      <c r="AN17" s="34" t="s">
        <v>68</v>
      </c>
      <c r="AO17" s="27" t="s">
        <v>69</v>
      </c>
      <c r="AP17" s="34" t="s">
        <v>70</v>
      </c>
    </row>
    <row r="18" spans="2:42" x14ac:dyDescent="0.35">
      <c r="B18" s="4">
        <v>2017</v>
      </c>
      <c r="C18" s="2"/>
      <c r="D18" s="37"/>
      <c r="E18" s="38"/>
      <c r="F18" s="39"/>
      <c r="G18" s="40"/>
      <c r="H18" s="41"/>
      <c r="I18" s="42"/>
      <c r="J18" s="43"/>
      <c r="K18" s="43"/>
      <c r="L18" s="43"/>
      <c r="M18" s="44"/>
      <c r="N18" s="45"/>
      <c r="O18" s="46"/>
      <c r="P18" s="47"/>
      <c r="Q18" s="48"/>
      <c r="R18" s="47"/>
      <c r="S18" s="43"/>
      <c r="T18" s="49"/>
      <c r="U18" s="2"/>
      <c r="V18" s="50"/>
      <c r="W18" s="47"/>
      <c r="X18" s="47"/>
      <c r="Y18" s="51"/>
      <c r="Z18" s="52"/>
      <c r="AA18" s="46"/>
      <c r="AB18" s="47"/>
      <c r="AC18" s="47"/>
      <c r="AE18" s="4"/>
      <c r="AF18" s="53"/>
      <c r="AG18" s="54"/>
      <c r="AH18" s="54"/>
      <c r="AI18" s="55"/>
      <c r="AJ18" s="44"/>
      <c r="AK18" s="47"/>
      <c r="AL18" s="47"/>
      <c r="AM18" s="47"/>
      <c r="AN18" s="47"/>
      <c r="AO18" s="54"/>
      <c r="AP18" s="47"/>
    </row>
    <row r="19" spans="2:42" x14ac:dyDescent="0.35">
      <c r="B19" s="4">
        <v>2018</v>
      </c>
      <c r="C19" s="2"/>
      <c r="D19" s="56">
        <f>E8</f>
        <v>72.3</v>
      </c>
      <c r="E19" s="57">
        <f t="shared" ref="E19:E51" si="0">$J$9</f>
        <v>2.5999999999999999E-2</v>
      </c>
      <c r="F19" s="39">
        <f>E9</f>
        <v>150</v>
      </c>
      <c r="G19" s="40">
        <f t="shared" ref="G19:G51" si="1">D19/F19*1000</f>
        <v>482</v>
      </c>
      <c r="H19" s="41"/>
      <c r="I19" s="58">
        <f>E10</f>
        <v>2429</v>
      </c>
      <c r="J19" s="59">
        <f t="shared" ref="J19:J51" si="2">$J$11</f>
        <v>1E-3</v>
      </c>
      <c r="K19" s="60">
        <f t="shared" ref="K19:K51" si="3">$J$12</f>
        <v>6.0000000000000001E-3</v>
      </c>
      <c r="L19" s="60">
        <f t="shared" ref="L19:L51" si="4">IF($S$13&gt;B19,0,IF(B19&lt;2040,MIN($S$12,0.3%),$S$12))</f>
        <v>0</v>
      </c>
      <c r="M19" s="61">
        <f>E11</f>
        <v>21825.396825396827</v>
      </c>
      <c r="N19" s="62">
        <f t="shared" ref="N19:N51" si="5">-$J$13-$J$14</f>
        <v>-3.0000000000000001E-3</v>
      </c>
      <c r="O19" s="63">
        <f>E12</f>
        <v>2.52</v>
      </c>
      <c r="P19" s="47">
        <f t="shared" ref="P19:P51" si="6">G19*M19*O19/1000000</f>
        <v>26.510000000000005</v>
      </c>
      <c r="Q19" s="64">
        <f t="shared" ref="Q19:Q51" si="7">$S$11</f>
        <v>0.5</v>
      </c>
      <c r="R19" s="47">
        <f t="shared" ref="R19:R51" si="8">Q19*P19</f>
        <v>13.255000000000003</v>
      </c>
      <c r="S19" s="59">
        <f>0</f>
        <v>0</v>
      </c>
      <c r="T19" s="65">
        <f>E13</f>
        <v>0.5544</v>
      </c>
      <c r="U19" s="66">
        <v>0</v>
      </c>
      <c r="V19" s="67">
        <f>E14</f>
        <v>2.52</v>
      </c>
      <c r="W19" s="47">
        <f t="shared" ref="W19:W51" si="9">G19*M19*(O19+T19+V19)/1000000</f>
        <v>58.852200000000011</v>
      </c>
      <c r="X19" s="47">
        <f t="shared" ref="X19:X51" si="10">W19*Q19</f>
        <v>29.426100000000005</v>
      </c>
      <c r="Y19" s="51"/>
      <c r="Z19" s="52"/>
      <c r="AA19" s="68">
        <f t="shared" ref="AA19:AA51" si="11">W19-Z19</f>
        <v>58.852200000000011</v>
      </c>
      <c r="AB19" s="68">
        <f t="shared" ref="AB19:AB51" si="12">X19-Z19</f>
        <v>29.426100000000005</v>
      </c>
      <c r="AC19" s="47">
        <f t="shared" ref="AC19:AC51" si="13">R19-Z19</f>
        <v>13.255000000000003</v>
      </c>
      <c r="AE19" s="4">
        <v>2018</v>
      </c>
      <c r="AF19" s="53">
        <f t="shared" ref="AF19:AF51" si="14">D19/$D$19</f>
        <v>1</v>
      </c>
      <c r="AG19" s="54">
        <f t="shared" ref="AG19:AG51" si="15">F19/$F$19</f>
        <v>1</v>
      </c>
      <c r="AH19" s="54">
        <f t="shared" ref="AH19:AH51" si="16">G19/$G$19</f>
        <v>1</v>
      </c>
      <c r="AI19" s="55">
        <f t="shared" ref="AI19:AI51" si="17">I19/$I$19</f>
        <v>1</v>
      </c>
      <c r="AJ19" s="44">
        <f t="shared" ref="AJ19:AJ51" si="18">M19/$M$19</f>
        <v>1</v>
      </c>
      <c r="AK19" s="47">
        <f t="shared" ref="AK19:AK51" si="19">X19/$X$19</f>
        <v>1</v>
      </c>
      <c r="AL19" s="47">
        <f t="shared" ref="AL19:AL51" si="20">R19-Z19</f>
        <v>13.255000000000003</v>
      </c>
      <c r="AM19" s="47">
        <f t="shared" ref="AM19:AM51" si="21">M19*G19*Q19*T19/1000000</f>
        <v>2.9161000000000001</v>
      </c>
      <c r="AN19" s="47">
        <f t="shared" ref="AN19:AN51" si="22">M19*G19*Q19*V19/1000000</f>
        <v>13.255000000000003</v>
      </c>
      <c r="AO19" s="54">
        <f t="shared" ref="AO19:AO51" si="23">Z19</f>
        <v>0</v>
      </c>
      <c r="AP19" s="47">
        <f t="shared" ref="AP19:AP51" si="24">W19-X19</f>
        <v>29.426100000000005</v>
      </c>
    </row>
    <row r="20" spans="2:42" x14ac:dyDescent="0.35">
      <c r="B20" s="4">
        <v>2019</v>
      </c>
      <c r="C20" s="66">
        <f t="shared" ref="C20:C51" si="25">$J$8</f>
        <v>2.3E-2</v>
      </c>
      <c r="D20" s="37">
        <f t="shared" ref="D20:D51" si="26">MIN(550,D19*(1+C20))</f>
        <v>73.962899999999991</v>
      </c>
      <c r="E20" s="57">
        <f t="shared" si="0"/>
        <v>2.5999999999999999E-2</v>
      </c>
      <c r="F20" s="69">
        <f t="shared" ref="F20:F51" si="27">MIN(F19*(1+E20),249)</f>
        <v>153.9</v>
      </c>
      <c r="G20" s="40">
        <f t="shared" si="1"/>
        <v>480.59064327485373</v>
      </c>
      <c r="H20" s="70">
        <f t="shared" ref="H20:H51" si="28">$J$10</f>
        <v>1.6E-2</v>
      </c>
      <c r="I20" s="42">
        <f t="shared" ref="I20:I51" si="29">MIN(I19*(1+H20),4000)</f>
        <v>2467.864</v>
      </c>
      <c r="J20" s="59">
        <f t="shared" si="2"/>
        <v>1E-3</v>
      </c>
      <c r="K20" s="60">
        <f t="shared" si="3"/>
        <v>6.0000000000000001E-3</v>
      </c>
      <c r="L20" s="60">
        <f t="shared" si="4"/>
        <v>0</v>
      </c>
      <c r="M20" s="71">
        <f>IF(SUM($K$19:K20)&lt;6%,M19*(I20/I19-J20-K20-L20),M19*(I20/I19-J20-L20))</f>
        <v>22021.825396825399</v>
      </c>
      <c r="N20" s="62">
        <f t="shared" si="5"/>
        <v>-3.0000000000000001E-3</v>
      </c>
      <c r="O20" s="47">
        <f t="shared" ref="O20:O51" si="30">O19*(1+N20)</f>
        <v>2.5124400000000002</v>
      </c>
      <c r="P20" s="47">
        <f t="shared" si="6"/>
        <v>26.590366615292396</v>
      </c>
      <c r="Q20" s="64">
        <f t="shared" si="7"/>
        <v>0.5</v>
      </c>
      <c r="R20" s="47">
        <f t="shared" si="8"/>
        <v>13.295183307646198</v>
      </c>
      <c r="S20" s="59">
        <f>0</f>
        <v>0</v>
      </c>
      <c r="T20" s="72">
        <f t="shared" ref="T20:T51" si="31">T19*(1-S20)</f>
        <v>0.5544</v>
      </c>
      <c r="U20" s="66">
        <v>0</v>
      </c>
      <c r="V20" s="73">
        <f t="shared" ref="V20:V25" si="32">V19*(1-U20)</f>
        <v>2.52</v>
      </c>
      <c r="W20" s="47">
        <f t="shared" si="9"/>
        <v>59.128227468508776</v>
      </c>
      <c r="X20" s="47">
        <f t="shared" si="10"/>
        <v>29.564113734254388</v>
      </c>
      <c r="Y20" s="51">
        <v>0</v>
      </c>
      <c r="Z20" s="74">
        <f>SUM($Y$20:Y20)*1.3*3.7/1000000</f>
        <v>0</v>
      </c>
      <c r="AA20" s="68">
        <f t="shared" si="11"/>
        <v>59.128227468508776</v>
      </c>
      <c r="AB20" s="68">
        <f t="shared" si="12"/>
        <v>29.564113734254388</v>
      </c>
      <c r="AC20" s="47">
        <f t="shared" si="13"/>
        <v>13.295183307646198</v>
      </c>
      <c r="AE20" s="4">
        <v>2019</v>
      </c>
      <c r="AF20" s="53">
        <f t="shared" si="14"/>
        <v>1.0229999999999999</v>
      </c>
      <c r="AG20" s="54">
        <f t="shared" si="15"/>
        <v>1.026</v>
      </c>
      <c r="AH20" s="54">
        <f t="shared" si="16"/>
        <v>0.99707602339181267</v>
      </c>
      <c r="AI20" s="55">
        <f t="shared" si="17"/>
        <v>1.016</v>
      </c>
      <c r="AJ20" s="44">
        <f t="shared" si="18"/>
        <v>1.0090000000000001</v>
      </c>
      <c r="AK20" s="47">
        <f t="shared" si="19"/>
        <v>1.004690180970444</v>
      </c>
      <c r="AL20" s="47">
        <f t="shared" si="20"/>
        <v>13.295183307646198</v>
      </c>
      <c r="AM20" s="47">
        <f t="shared" si="21"/>
        <v>2.933741552339181</v>
      </c>
      <c r="AN20" s="47">
        <f t="shared" si="22"/>
        <v>13.335188874269004</v>
      </c>
      <c r="AO20" s="54">
        <f t="shared" si="23"/>
        <v>0</v>
      </c>
      <c r="AP20" s="47">
        <f t="shared" si="24"/>
        <v>29.564113734254388</v>
      </c>
    </row>
    <row r="21" spans="2:42" x14ac:dyDescent="0.35">
      <c r="B21" s="4">
        <v>2020</v>
      </c>
      <c r="C21" s="66">
        <f t="shared" si="25"/>
        <v>2.3E-2</v>
      </c>
      <c r="D21" s="37">
        <f t="shared" si="26"/>
        <v>75.664046699999986</v>
      </c>
      <c r="E21" s="57">
        <f t="shared" si="0"/>
        <v>2.5999999999999999E-2</v>
      </c>
      <c r="F21" s="69">
        <f t="shared" si="27"/>
        <v>157.9014</v>
      </c>
      <c r="G21" s="40">
        <f t="shared" si="1"/>
        <v>479.18540747580448</v>
      </c>
      <c r="H21" s="70">
        <f t="shared" si="28"/>
        <v>1.6E-2</v>
      </c>
      <c r="I21" s="42">
        <f t="shared" si="29"/>
        <v>2507.3498239999999</v>
      </c>
      <c r="J21" s="59">
        <f t="shared" si="2"/>
        <v>1E-3</v>
      </c>
      <c r="K21" s="60">
        <f t="shared" si="3"/>
        <v>6.0000000000000001E-3</v>
      </c>
      <c r="L21" s="60">
        <f t="shared" si="4"/>
        <v>0</v>
      </c>
      <c r="M21" s="71">
        <f>IF(SUM($K$19:K21)&lt;6%,M20*(I21/I20-J21-K21-L21),M20*(I21/I20-J21-L21))</f>
        <v>22220.021825396831</v>
      </c>
      <c r="N21" s="62">
        <f t="shared" si="5"/>
        <v>-3.0000000000000001E-3</v>
      </c>
      <c r="O21" s="47">
        <f t="shared" si="30"/>
        <v>2.5049026800000003</v>
      </c>
      <c r="P21" s="47">
        <f t="shared" si="6"/>
        <v>26.670976866678863</v>
      </c>
      <c r="Q21" s="64">
        <f t="shared" si="7"/>
        <v>0.5</v>
      </c>
      <c r="R21" s="47">
        <f t="shared" si="8"/>
        <v>13.335488433339432</v>
      </c>
      <c r="S21" s="59">
        <f>0</f>
        <v>0</v>
      </c>
      <c r="T21" s="72">
        <f t="shared" si="31"/>
        <v>0.5544</v>
      </c>
      <c r="U21" s="66">
        <v>0</v>
      </c>
      <c r="V21" s="73">
        <f t="shared" si="32"/>
        <v>2.52</v>
      </c>
      <c r="W21" s="47">
        <f t="shared" si="9"/>
        <v>59.40568226406279</v>
      </c>
      <c r="X21" s="47">
        <f t="shared" si="10"/>
        <v>29.702841132031395</v>
      </c>
      <c r="Y21" s="51">
        <v>0</v>
      </c>
      <c r="Z21" s="74">
        <f>SUM($Y$20:Y21)*1.3*3.7/1000000</f>
        <v>0</v>
      </c>
      <c r="AA21" s="68">
        <f t="shared" si="11"/>
        <v>59.40568226406279</v>
      </c>
      <c r="AB21" s="68">
        <f t="shared" si="12"/>
        <v>29.702841132031395</v>
      </c>
      <c r="AC21" s="47">
        <f t="shared" si="13"/>
        <v>13.335488433339432</v>
      </c>
      <c r="AE21" s="4">
        <v>2020</v>
      </c>
      <c r="AF21" s="53">
        <f t="shared" si="14"/>
        <v>1.0465289999999998</v>
      </c>
      <c r="AG21" s="54">
        <f t="shared" si="15"/>
        <v>1.0526759999999999</v>
      </c>
      <c r="AH21" s="54">
        <f t="shared" si="16"/>
        <v>0.99416059642283083</v>
      </c>
      <c r="AI21" s="55">
        <f t="shared" si="17"/>
        <v>1.0322560000000001</v>
      </c>
      <c r="AJ21" s="44">
        <f t="shared" si="18"/>
        <v>1.0180810000000002</v>
      </c>
      <c r="AK21" s="47">
        <f t="shared" si="19"/>
        <v>1.0094046146798723</v>
      </c>
      <c r="AL21" s="47">
        <f t="shared" si="20"/>
        <v>13.335488433339432</v>
      </c>
      <c r="AM21" s="47">
        <f t="shared" si="21"/>
        <v>2.9514898309116666</v>
      </c>
      <c r="AN21" s="47">
        <f t="shared" si="22"/>
        <v>13.415862867780302</v>
      </c>
      <c r="AO21" s="54">
        <f t="shared" si="23"/>
        <v>0</v>
      </c>
      <c r="AP21" s="47">
        <f t="shared" si="24"/>
        <v>29.702841132031395</v>
      </c>
    </row>
    <row r="22" spans="2:42" x14ac:dyDescent="0.35">
      <c r="B22" s="4">
        <v>2021</v>
      </c>
      <c r="C22" s="66">
        <f t="shared" si="25"/>
        <v>2.3E-2</v>
      </c>
      <c r="D22" s="37">
        <f t="shared" si="26"/>
        <v>77.404319774099974</v>
      </c>
      <c r="E22" s="57">
        <f t="shared" si="0"/>
        <v>2.5999999999999999E-2</v>
      </c>
      <c r="F22" s="69">
        <f t="shared" si="27"/>
        <v>162.0068364</v>
      </c>
      <c r="G22" s="40">
        <f t="shared" si="1"/>
        <v>477.78428055336047</v>
      </c>
      <c r="H22" s="70">
        <f t="shared" si="28"/>
        <v>1.6E-2</v>
      </c>
      <c r="I22" s="42">
        <f t="shared" si="29"/>
        <v>2547.4674211840002</v>
      </c>
      <c r="J22" s="59">
        <f t="shared" si="2"/>
        <v>1E-3</v>
      </c>
      <c r="K22" s="60">
        <f t="shared" si="3"/>
        <v>6.0000000000000001E-3</v>
      </c>
      <c r="L22" s="60">
        <f t="shared" si="4"/>
        <v>0</v>
      </c>
      <c r="M22" s="71">
        <f>IF(SUM($K$19:K22)&lt;6%,M21*(I22/I21-J22-K22-L22),M21*(I22/I21-J22-L22))</f>
        <v>22420.002021825403</v>
      </c>
      <c r="N22" s="62">
        <f t="shared" si="5"/>
        <v>-3.0000000000000001E-3</v>
      </c>
      <c r="O22" s="47">
        <f t="shared" si="30"/>
        <v>2.4973879719600003</v>
      </c>
      <c r="P22" s="47">
        <f t="shared" si="6"/>
        <v>26.751831492756441</v>
      </c>
      <c r="Q22" s="64">
        <f t="shared" si="7"/>
        <v>0.5</v>
      </c>
      <c r="R22" s="47">
        <f t="shared" si="8"/>
        <v>13.375915746378221</v>
      </c>
      <c r="S22" s="59">
        <f>0</f>
        <v>0</v>
      </c>
      <c r="T22" s="72">
        <f t="shared" si="31"/>
        <v>0.5544</v>
      </c>
      <c r="U22" s="66">
        <v>0</v>
      </c>
      <c r="V22" s="73">
        <f t="shared" si="32"/>
        <v>2.52</v>
      </c>
      <c r="W22" s="47">
        <f t="shared" si="9"/>
        <v>59.684572286243259</v>
      </c>
      <c r="X22" s="47">
        <f t="shared" si="10"/>
        <v>29.84228614312163</v>
      </c>
      <c r="Y22" s="51">
        <v>0</v>
      </c>
      <c r="Z22" s="74">
        <f>SUM($Y$20:Y22)*1.3*3.7/1000000</f>
        <v>0</v>
      </c>
      <c r="AA22" s="68">
        <f t="shared" si="11"/>
        <v>59.684572286243259</v>
      </c>
      <c r="AB22" s="68">
        <f t="shared" si="12"/>
        <v>29.84228614312163</v>
      </c>
      <c r="AC22" s="47">
        <f t="shared" si="13"/>
        <v>13.375915746378221</v>
      </c>
      <c r="AE22" s="4">
        <v>2021</v>
      </c>
      <c r="AF22" s="53">
        <f t="shared" si="14"/>
        <v>1.0705991669999997</v>
      </c>
      <c r="AG22" s="54">
        <f t="shared" si="15"/>
        <v>1.0800455760000001</v>
      </c>
      <c r="AH22" s="54">
        <f t="shared" si="16"/>
        <v>0.99125369409410891</v>
      </c>
      <c r="AI22" s="55">
        <f t="shared" si="17"/>
        <v>1.048772096</v>
      </c>
      <c r="AJ22" s="44">
        <f t="shared" si="18"/>
        <v>1.0272437290000003</v>
      </c>
      <c r="AK22" s="47">
        <f t="shared" si="19"/>
        <v>1.0141434353557428</v>
      </c>
      <c r="AL22" s="47">
        <f t="shared" si="20"/>
        <v>13.375915746378221</v>
      </c>
      <c r="AM22" s="47">
        <f t="shared" si="21"/>
        <v>2.9693454813799587</v>
      </c>
      <c r="AN22" s="47">
        <f t="shared" si="22"/>
        <v>13.497024915363447</v>
      </c>
      <c r="AO22" s="54">
        <f t="shared" si="23"/>
        <v>0</v>
      </c>
      <c r="AP22" s="47">
        <f t="shared" si="24"/>
        <v>29.84228614312163</v>
      </c>
    </row>
    <row r="23" spans="2:42" x14ac:dyDescent="0.35">
      <c r="B23" s="4">
        <v>2022</v>
      </c>
      <c r="C23" s="66">
        <f t="shared" si="25"/>
        <v>2.3E-2</v>
      </c>
      <c r="D23" s="37">
        <f t="shared" si="26"/>
        <v>79.184619128904274</v>
      </c>
      <c r="E23" s="57">
        <f t="shared" si="0"/>
        <v>2.5999999999999999E-2</v>
      </c>
      <c r="F23" s="69">
        <f t="shared" si="27"/>
        <v>166.21901414640001</v>
      </c>
      <c r="G23" s="40">
        <f t="shared" si="1"/>
        <v>476.38725049326291</v>
      </c>
      <c r="H23" s="70">
        <f t="shared" si="28"/>
        <v>1.6E-2</v>
      </c>
      <c r="I23" s="42">
        <f t="shared" si="29"/>
        <v>2588.2268999229441</v>
      </c>
      <c r="J23" s="59">
        <f t="shared" si="2"/>
        <v>1E-3</v>
      </c>
      <c r="K23" s="60">
        <f t="shared" si="3"/>
        <v>6.0000000000000001E-3</v>
      </c>
      <c r="L23" s="60">
        <f t="shared" si="4"/>
        <v>0</v>
      </c>
      <c r="M23" s="71">
        <f>IF(SUM($K$19:K23)&lt;6%,M22*(I23/I22-J23-K23-L23),M22*(I23/I22-J23-L23))</f>
        <v>22621.782040021833</v>
      </c>
      <c r="N23" s="62">
        <f t="shared" si="5"/>
        <v>-3.0000000000000001E-3</v>
      </c>
      <c r="O23" s="47">
        <f t="shared" si="30"/>
        <v>2.4898958080441203</v>
      </c>
      <c r="P23" s="47">
        <f t="shared" si="6"/>
        <v>26.832931234361329</v>
      </c>
      <c r="Q23" s="64">
        <f t="shared" si="7"/>
        <v>0.5</v>
      </c>
      <c r="R23" s="47">
        <f t="shared" si="8"/>
        <v>13.416465617180664</v>
      </c>
      <c r="S23" s="59">
        <f>0</f>
        <v>0</v>
      </c>
      <c r="T23" s="72">
        <f t="shared" si="31"/>
        <v>0.5544</v>
      </c>
      <c r="U23" s="66">
        <v>0</v>
      </c>
      <c r="V23" s="73">
        <f t="shared" si="32"/>
        <v>2.52</v>
      </c>
      <c r="W23" s="47">
        <f t="shared" si="9"/>
        <v>59.964905480192364</v>
      </c>
      <c r="X23" s="47">
        <f t="shared" si="10"/>
        <v>29.982452740096182</v>
      </c>
      <c r="Y23" s="51">
        <f t="shared" ref="Y23:Y51" si="33">$S$10</f>
        <v>15000</v>
      </c>
      <c r="Z23" s="74">
        <f>SUM($Y$20:Y23)*1.3*3.7/1000000</f>
        <v>7.2150000000000006E-2</v>
      </c>
      <c r="AA23" s="68">
        <f t="shared" si="11"/>
        <v>59.892755480192363</v>
      </c>
      <c r="AB23" s="68">
        <f t="shared" si="12"/>
        <v>29.910302740096181</v>
      </c>
      <c r="AC23" s="47">
        <f t="shared" si="13"/>
        <v>13.344315617180664</v>
      </c>
      <c r="AE23" s="4">
        <v>2022</v>
      </c>
      <c r="AF23" s="53">
        <f t="shared" si="14"/>
        <v>1.0952229478409996</v>
      </c>
      <c r="AG23" s="54">
        <f t="shared" si="15"/>
        <v>1.1081267609760002</v>
      </c>
      <c r="AH23" s="54">
        <f t="shared" si="16"/>
        <v>0.98835529147979861</v>
      </c>
      <c r="AI23" s="55">
        <f t="shared" si="17"/>
        <v>1.065552449536</v>
      </c>
      <c r="AJ23" s="44">
        <f t="shared" si="18"/>
        <v>1.0364889225610003</v>
      </c>
      <c r="AK23" s="47">
        <f t="shared" si="19"/>
        <v>1.018906777999673</v>
      </c>
      <c r="AL23" s="47">
        <f t="shared" si="20"/>
        <v>13.344315617180664</v>
      </c>
      <c r="AM23" s="47">
        <f t="shared" si="21"/>
        <v>2.9873091533126352</v>
      </c>
      <c r="AN23" s="47">
        <f t="shared" si="22"/>
        <v>13.578677969602886</v>
      </c>
      <c r="AO23" s="54">
        <f t="shared" si="23"/>
        <v>7.2150000000000006E-2</v>
      </c>
      <c r="AP23" s="47">
        <f t="shared" si="24"/>
        <v>29.982452740096182</v>
      </c>
    </row>
    <row r="24" spans="2:42" x14ac:dyDescent="0.35">
      <c r="B24" s="4">
        <v>2023</v>
      </c>
      <c r="C24" s="66">
        <f t="shared" si="25"/>
        <v>2.3E-2</v>
      </c>
      <c r="D24" s="37">
        <f t="shared" si="26"/>
        <v>81.005865368869067</v>
      </c>
      <c r="E24" s="57">
        <f t="shared" si="0"/>
        <v>2.5999999999999999E-2</v>
      </c>
      <c r="F24" s="69">
        <f t="shared" si="27"/>
        <v>170.54070851420641</v>
      </c>
      <c r="G24" s="40">
        <f t="shared" si="1"/>
        <v>474.994305316382</v>
      </c>
      <c r="H24" s="70">
        <f t="shared" si="28"/>
        <v>1.6E-2</v>
      </c>
      <c r="I24" s="42">
        <f t="shared" si="29"/>
        <v>2629.6385303217112</v>
      </c>
      <c r="J24" s="59">
        <f t="shared" si="2"/>
        <v>1E-3</v>
      </c>
      <c r="K24" s="60">
        <f t="shared" si="3"/>
        <v>6.0000000000000001E-3</v>
      </c>
      <c r="L24" s="60">
        <f t="shared" si="4"/>
        <v>0</v>
      </c>
      <c r="M24" s="71">
        <f>IF(SUM($K$19:K24)&lt;6%,M23*(I24/I23-J24-K24-L24),M23*(I24/I23-J24-L24))</f>
        <v>22825.378078382033</v>
      </c>
      <c r="N24" s="62">
        <f t="shared" si="5"/>
        <v>-3.0000000000000001E-3</v>
      </c>
      <c r="O24" s="47">
        <f t="shared" si="30"/>
        <v>2.482426120619988</v>
      </c>
      <c r="P24" s="47">
        <f t="shared" si="6"/>
        <v>26.91427683457556</v>
      </c>
      <c r="Q24" s="64">
        <f t="shared" si="7"/>
        <v>0.5</v>
      </c>
      <c r="R24" s="47">
        <f t="shared" si="8"/>
        <v>13.45713841728778</v>
      </c>
      <c r="S24" s="59">
        <f>0</f>
        <v>0</v>
      </c>
      <c r="T24" s="72">
        <f t="shared" si="31"/>
        <v>0.5544</v>
      </c>
      <c r="U24" s="66">
        <v>0</v>
      </c>
      <c r="V24" s="73">
        <f t="shared" si="32"/>
        <v>2.52</v>
      </c>
      <c r="W24" s="47">
        <f t="shared" si="9"/>
        <v>60.246689836882112</v>
      </c>
      <c r="X24" s="47">
        <f t="shared" si="10"/>
        <v>30.123344918441056</v>
      </c>
      <c r="Y24" s="51">
        <f t="shared" si="33"/>
        <v>15000</v>
      </c>
      <c r="Z24" s="74">
        <f>SUM($Y$20:Y24)*1.3*3.7/1000000</f>
        <v>0.14430000000000001</v>
      </c>
      <c r="AA24" s="68">
        <f t="shared" si="11"/>
        <v>60.102389836882111</v>
      </c>
      <c r="AB24" s="68">
        <f t="shared" si="12"/>
        <v>29.979044918441055</v>
      </c>
      <c r="AC24" s="47">
        <f t="shared" si="13"/>
        <v>13.312838417287781</v>
      </c>
      <c r="AE24" s="4">
        <v>2023</v>
      </c>
      <c r="AF24" s="53">
        <f t="shared" si="14"/>
        <v>1.1204130756413426</v>
      </c>
      <c r="AG24" s="54">
        <f t="shared" si="15"/>
        <v>1.136938056761376</v>
      </c>
      <c r="AH24" s="54">
        <f t="shared" si="16"/>
        <v>0.98546536372693361</v>
      </c>
      <c r="AI24" s="55">
        <f t="shared" si="17"/>
        <v>1.0826012887285761</v>
      </c>
      <c r="AJ24" s="44">
        <f t="shared" si="18"/>
        <v>1.0458173228640495</v>
      </c>
      <c r="AK24" s="47">
        <f t="shared" si="19"/>
        <v>1.0236947783920074</v>
      </c>
      <c r="AL24" s="47">
        <f t="shared" si="20"/>
        <v>13.312838417287781</v>
      </c>
      <c r="AM24" s="47">
        <f t="shared" si="21"/>
        <v>3.0053815002079682</v>
      </c>
      <c r="AN24" s="47">
        <f t="shared" si="22"/>
        <v>13.660825000945309</v>
      </c>
      <c r="AO24" s="54">
        <f t="shared" si="23"/>
        <v>0.14430000000000001</v>
      </c>
      <c r="AP24" s="47">
        <f t="shared" si="24"/>
        <v>30.123344918441056</v>
      </c>
    </row>
    <row r="25" spans="2:42" x14ac:dyDescent="0.35">
      <c r="B25" s="4">
        <v>2024</v>
      </c>
      <c r="C25" s="66">
        <f t="shared" si="25"/>
        <v>2.3E-2</v>
      </c>
      <c r="D25" s="37">
        <f t="shared" si="26"/>
        <v>82.869000272353048</v>
      </c>
      <c r="E25" s="57">
        <f t="shared" si="0"/>
        <v>2.5999999999999999E-2</v>
      </c>
      <c r="F25" s="69">
        <f t="shared" si="27"/>
        <v>174.97476693557579</v>
      </c>
      <c r="G25" s="40">
        <f t="shared" si="1"/>
        <v>473.60543307861474</v>
      </c>
      <c r="H25" s="70">
        <f t="shared" si="28"/>
        <v>1.6E-2</v>
      </c>
      <c r="I25" s="42">
        <f t="shared" si="29"/>
        <v>2671.7127468068584</v>
      </c>
      <c r="J25" s="59">
        <f t="shared" si="2"/>
        <v>1E-3</v>
      </c>
      <c r="K25" s="60">
        <f t="shared" si="3"/>
        <v>6.0000000000000001E-3</v>
      </c>
      <c r="L25" s="60">
        <f t="shared" si="4"/>
        <v>0</v>
      </c>
      <c r="M25" s="71">
        <f>IF(SUM($K$19:K25)&lt;6%,M24*(I25/I24-J25-K25-L25),M24*(I25/I24-J25-L25))</f>
        <v>23030.806481087475</v>
      </c>
      <c r="N25" s="62">
        <f t="shared" si="5"/>
        <v>-3.0000000000000001E-3</v>
      </c>
      <c r="O25" s="47">
        <f t="shared" si="30"/>
        <v>2.4749788422581283</v>
      </c>
      <c r="P25" s="47">
        <f t="shared" si="6"/>
        <v>26.995869038733897</v>
      </c>
      <c r="Q25" s="64">
        <f t="shared" si="7"/>
        <v>0.5</v>
      </c>
      <c r="R25" s="47">
        <f t="shared" si="8"/>
        <v>13.497934519366948</v>
      </c>
      <c r="S25" s="59">
        <f>0</f>
        <v>0</v>
      </c>
      <c r="T25" s="72">
        <f t="shared" si="31"/>
        <v>0.5544</v>
      </c>
      <c r="U25" s="66">
        <v>0</v>
      </c>
      <c r="V25" s="73">
        <f t="shared" si="32"/>
        <v>2.52</v>
      </c>
      <c r="W25" s="47">
        <f t="shared" si="9"/>
        <v>60.529933393384823</v>
      </c>
      <c r="X25" s="47">
        <f t="shared" si="10"/>
        <v>30.264966696692412</v>
      </c>
      <c r="Y25" s="51">
        <f t="shared" si="33"/>
        <v>15000</v>
      </c>
      <c r="Z25" s="74">
        <f>SUM($Y$20:Y25)*1.3*3.7/1000000</f>
        <v>0.21645</v>
      </c>
      <c r="AA25" s="68">
        <f t="shared" si="11"/>
        <v>60.313483393384821</v>
      </c>
      <c r="AB25" s="68">
        <f t="shared" si="12"/>
        <v>30.048516696692413</v>
      </c>
      <c r="AC25" s="47">
        <f t="shared" si="13"/>
        <v>13.281484519366948</v>
      </c>
      <c r="AE25" s="4">
        <v>2024</v>
      </c>
      <c r="AF25" s="53">
        <f t="shared" si="14"/>
        <v>1.1461825763810933</v>
      </c>
      <c r="AG25" s="54">
        <f t="shared" si="15"/>
        <v>1.1664984462371719</v>
      </c>
      <c r="AH25" s="54">
        <f t="shared" si="16"/>
        <v>0.98258388605521729</v>
      </c>
      <c r="AI25" s="55">
        <f t="shared" si="17"/>
        <v>1.0999229093482332</v>
      </c>
      <c r="AJ25" s="44">
        <f t="shared" si="18"/>
        <v>1.0552296787698261</v>
      </c>
      <c r="AK25" s="47">
        <f t="shared" si="19"/>
        <v>1.0285075730964146</v>
      </c>
      <c r="AL25" s="47">
        <f t="shared" si="20"/>
        <v>13.281484519366948</v>
      </c>
      <c r="AM25" s="47">
        <f t="shared" si="21"/>
        <v>3.0235631795177054</v>
      </c>
      <c r="AN25" s="47">
        <f t="shared" si="22"/>
        <v>13.743468997807753</v>
      </c>
      <c r="AO25" s="54">
        <f t="shared" si="23"/>
        <v>0.21645</v>
      </c>
      <c r="AP25" s="47">
        <f t="shared" si="24"/>
        <v>30.264966696692412</v>
      </c>
    </row>
    <row r="26" spans="2:42" x14ac:dyDescent="0.35">
      <c r="B26" s="4">
        <v>2025</v>
      </c>
      <c r="C26" s="66">
        <f t="shared" si="25"/>
        <v>2.3E-2</v>
      </c>
      <c r="D26" s="37">
        <f t="shared" si="26"/>
        <v>84.774987278617161</v>
      </c>
      <c r="E26" s="57">
        <f t="shared" si="0"/>
        <v>2.5999999999999999E-2</v>
      </c>
      <c r="F26" s="69">
        <f t="shared" si="27"/>
        <v>179.52411087590076</v>
      </c>
      <c r="G26" s="40">
        <f t="shared" si="1"/>
        <v>472.22062187078245</v>
      </c>
      <c r="H26" s="70">
        <f t="shared" si="28"/>
        <v>1.6E-2</v>
      </c>
      <c r="I26" s="42">
        <f t="shared" si="29"/>
        <v>2714.4601507557682</v>
      </c>
      <c r="J26" s="59">
        <f t="shared" si="2"/>
        <v>1E-3</v>
      </c>
      <c r="K26" s="60">
        <f t="shared" si="3"/>
        <v>6.0000000000000001E-3</v>
      </c>
      <c r="L26" s="60">
        <f t="shared" si="4"/>
        <v>0</v>
      </c>
      <c r="M26" s="71">
        <f>IF(SUM($K$19:K26)&lt;6%,M25*(I26/I25-J26-K26-L26),M25*(I26/I25-J26-L26))</f>
        <v>23238.083739417263</v>
      </c>
      <c r="N26" s="62">
        <f t="shared" si="5"/>
        <v>-3.0000000000000001E-3</v>
      </c>
      <c r="O26" s="47">
        <f t="shared" si="30"/>
        <v>2.467553905731354</v>
      </c>
      <c r="P26" s="47">
        <f t="shared" si="6"/>
        <v>27.077708594430607</v>
      </c>
      <c r="Q26" s="64">
        <f t="shared" si="7"/>
        <v>0.5</v>
      </c>
      <c r="R26" s="47">
        <f t="shared" si="8"/>
        <v>13.538854297215304</v>
      </c>
      <c r="S26" s="59">
        <f>0</f>
        <v>0</v>
      </c>
      <c r="T26" s="72">
        <f t="shared" si="31"/>
        <v>0.5544</v>
      </c>
      <c r="U26" s="66">
        <f t="shared" ref="U26:U51" si="34">$S$9</f>
        <v>0.05</v>
      </c>
      <c r="V26" s="73">
        <f>IF(SUM($U$19:U26)&lt;55%,V25*(1-U26),V25)</f>
        <v>2.3939999999999997</v>
      </c>
      <c r="W26" s="47">
        <f t="shared" si="9"/>
        <v>59.431982936476544</v>
      </c>
      <c r="X26" s="47">
        <f t="shared" si="10"/>
        <v>29.715991468238272</v>
      </c>
      <c r="Y26" s="51">
        <f t="shared" si="33"/>
        <v>15000</v>
      </c>
      <c r="Z26" s="74">
        <f>SUM($Y$20:Y26)*1.3*3.7/1000000</f>
        <v>0.28860000000000002</v>
      </c>
      <c r="AA26" s="68">
        <f t="shared" si="11"/>
        <v>59.143382936476542</v>
      </c>
      <c r="AB26" s="68">
        <f t="shared" si="12"/>
        <v>29.427391468238273</v>
      </c>
      <c r="AC26" s="47">
        <f t="shared" si="13"/>
        <v>13.250254297215303</v>
      </c>
      <c r="AE26" s="4">
        <v>2025</v>
      </c>
      <c r="AF26" s="53">
        <f t="shared" si="14"/>
        <v>1.1725447756378584</v>
      </c>
      <c r="AG26" s="54">
        <f t="shared" si="15"/>
        <v>1.1968274058393384</v>
      </c>
      <c r="AH26" s="54">
        <f t="shared" si="16"/>
        <v>0.97971083375681012</v>
      </c>
      <c r="AI26" s="55">
        <f t="shared" si="17"/>
        <v>1.1175216758978048</v>
      </c>
      <c r="AJ26" s="44">
        <f t="shared" si="18"/>
        <v>1.0647267458787546</v>
      </c>
      <c r="AK26" s="47">
        <f t="shared" si="19"/>
        <v>1.0098515082949582</v>
      </c>
      <c r="AL26" s="47">
        <f t="shared" si="20"/>
        <v>13.250254297215303</v>
      </c>
      <c r="AM26" s="47">
        <f t="shared" si="21"/>
        <v>3.0418548526709861</v>
      </c>
      <c r="AN26" s="47">
        <f t="shared" si="22"/>
        <v>13.135282318351985</v>
      </c>
      <c r="AO26" s="54">
        <f t="shared" si="23"/>
        <v>0.28860000000000002</v>
      </c>
      <c r="AP26" s="47">
        <f t="shared" si="24"/>
        <v>29.715991468238272</v>
      </c>
    </row>
    <row r="27" spans="2:42" x14ac:dyDescent="0.35">
      <c r="B27" s="4">
        <v>2026</v>
      </c>
      <c r="C27" s="66">
        <f t="shared" si="25"/>
        <v>2.3E-2</v>
      </c>
      <c r="D27" s="37">
        <f t="shared" si="26"/>
        <v>86.724811986025344</v>
      </c>
      <c r="E27" s="57">
        <f t="shared" si="0"/>
        <v>2.5999999999999999E-2</v>
      </c>
      <c r="F27" s="69">
        <f t="shared" si="27"/>
        <v>184.19173775867418</v>
      </c>
      <c r="G27" s="40">
        <f t="shared" si="1"/>
        <v>470.83985981852868</v>
      </c>
      <c r="H27" s="70">
        <f t="shared" si="28"/>
        <v>1.6E-2</v>
      </c>
      <c r="I27" s="42">
        <f t="shared" si="29"/>
        <v>2757.8915131678605</v>
      </c>
      <c r="J27" s="59">
        <f t="shared" si="2"/>
        <v>1E-3</v>
      </c>
      <c r="K27" s="60">
        <f t="shared" si="3"/>
        <v>6.0000000000000001E-3</v>
      </c>
      <c r="L27" s="60">
        <f t="shared" si="4"/>
        <v>0</v>
      </c>
      <c r="M27" s="71">
        <f>IF(SUM($K$19:K27)&lt;6%,M26*(I27/I26-J27-K27-L27),M26*(I27/I26-J27-L27))</f>
        <v>23447.226493072023</v>
      </c>
      <c r="N27" s="62">
        <f t="shared" si="5"/>
        <v>-3.0000000000000001E-3</v>
      </c>
      <c r="O27" s="47">
        <f t="shared" si="30"/>
        <v>2.4601512440141597</v>
      </c>
      <c r="P27" s="47">
        <f t="shared" si="6"/>
        <v>27.159796251526355</v>
      </c>
      <c r="Q27" s="64">
        <f t="shared" si="7"/>
        <v>0.5</v>
      </c>
      <c r="R27" s="47">
        <f t="shared" si="8"/>
        <v>13.579898125763178</v>
      </c>
      <c r="S27" s="59">
        <f>0</f>
        <v>0</v>
      </c>
      <c r="T27" s="72">
        <f t="shared" si="31"/>
        <v>0.5544</v>
      </c>
      <c r="U27" s="66">
        <f t="shared" si="34"/>
        <v>0.05</v>
      </c>
      <c r="V27" s="73">
        <f>IF(SUM($U$19:U27)&lt;55%,V26*(1-U27),V26)</f>
        <v>2.2742999999999998</v>
      </c>
      <c r="W27" s="47">
        <f t="shared" si="9"/>
        <v>58.388329799462326</v>
      </c>
      <c r="X27" s="47">
        <f t="shared" si="10"/>
        <v>29.194164899731163</v>
      </c>
      <c r="Y27" s="51">
        <f t="shared" si="33"/>
        <v>15000</v>
      </c>
      <c r="Z27" s="74">
        <f>SUM($Y$20:Y27)*1.3*3.7/1000000</f>
        <v>0.36075000000000002</v>
      </c>
      <c r="AA27" s="68">
        <f t="shared" si="11"/>
        <v>58.027579799462323</v>
      </c>
      <c r="AB27" s="68">
        <f t="shared" si="12"/>
        <v>28.833414899731164</v>
      </c>
      <c r="AC27" s="47">
        <f t="shared" si="13"/>
        <v>13.219148125763178</v>
      </c>
      <c r="AE27" s="4">
        <v>2026</v>
      </c>
      <c r="AF27" s="53">
        <f t="shared" si="14"/>
        <v>1.1995133054775291</v>
      </c>
      <c r="AG27" s="54">
        <f t="shared" si="15"/>
        <v>1.2279449183911613</v>
      </c>
      <c r="AH27" s="54">
        <f t="shared" si="16"/>
        <v>0.97684618219611763</v>
      </c>
      <c r="AI27" s="55">
        <f t="shared" si="17"/>
        <v>1.1354020227121697</v>
      </c>
      <c r="AJ27" s="44">
        <f t="shared" si="18"/>
        <v>1.0743092865916635</v>
      </c>
      <c r="AK27" s="47">
        <f t="shared" si="19"/>
        <v>0.99211804825414029</v>
      </c>
      <c r="AL27" s="47">
        <f t="shared" si="20"/>
        <v>13.219148125763178</v>
      </c>
      <c r="AM27" s="47">
        <f t="shared" si="21"/>
        <v>3.0602571850984028</v>
      </c>
      <c r="AN27" s="47">
        <f t="shared" si="22"/>
        <v>12.554009588869583</v>
      </c>
      <c r="AO27" s="54">
        <f t="shared" si="23"/>
        <v>0.36075000000000002</v>
      </c>
      <c r="AP27" s="47">
        <f t="shared" si="24"/>
        <v>29.194164899731163</v>
      </c>
    </row>
    <row r="28" spans="2:42" x14ac:dyDescent="0.35">
      <c r="B28" s="4">
        <v>2027</v>
      </c>
      <c r="C28" s="66">
        <f t="shared" si="25"/>
        <v>2.3E-2</v>
      </c>
      <c r="D28" s="37">
        <f t="shared" si="26"/>
        <v>88.719482661703921</v>
      </c>
      <c r="E28" s="57">
        <f t="shared" si="0"/>
        <v>2.5999999999999999E-2</v>
      </c>
      <c r="F28" s="69">
        <f t="shared" si="27"/>
        <v>188.98072294039972</v>
      </c>
      <c r="G28" s="40">
        <f t="shared" si="1"/>
        <v>469.46313508221715</v>
      </c>
      <c r="H28" s="70">
        <f t="shared" si="28"/>
        <v>1.6E-2</v>
      </c>
      <c r="I28" s="42">
        <f t="shared" si="29"/>
        <v>2802.0177773785463</v>
      </c>
      <c r="J28" s="59">
        <f t="shared" si="2"/>
        <v>1E-3</v>
      </c>
      <c r="K28" s="60">
        <f t="shared" si="3"/>
        <v>6.0000000000000001E-3</v>
      </c>
      <c r="L28" s="60">
        <f t="shared" si="4"/>
        <v>0</v>
      </c>
      <c r="M28" s="71">
        <f>IF(SUM($K$19:K28)&lt;6%,M27*(I28/I27-J28-K28-L28),M27*(I28/I27-J28-L28))</f>
        <v>23798.934890468106</v>
      </c>
      <c r="N28" s="62">
        <f t="shared" si="5"/>
        <v>-3.0000000000000001E-3</v>
      </c>
      <c r="O28" s="47">
        <f t="shared" si="30"/>
        <v>2.4527707902821172</v>
      </c>
      <c r="P28" s="47">
        <f t="shared" si="6"/>
        <v>27.404127605141095</v>
      </c>
      <c r="Q28" s="64">
        <f t="shared" si="7"/>
        <v>0.5</v>
      </c>
      <c r="R28" s="47">
        <f t="shared" si="8"/>
        <v>13.702063802570548</v>
      </c>
      <c r="S28" s="59">
        <f>0</f>
        <v>0</v>
      </c>
      <c r="T28" s="72">
        <f t="shared" si="31"/>
        <v>0.5544</v>
      </c>
      <c r="U28" s="66">
        <f t="shared" si="34"/>
        <v>0.05</v>
      </c>
      <c r="V28" s="73">
        <f>IF(SUM($U$19:U28)&lt;55%,V27*(1-U28),V27)</f>
        <v>2.1605849999999998</v>
      </c>
      <c r="W28" s="47">
        <f t="shared" si="9"/>
        <v>57.737901833382907</v>
      </c>
      <c r="X28" s="47">
        <f t="shared" si="10"/>
        <v>28.868950916691453</v>
      </c>
      <c r="Y28" s="51">
        <f t="shared" si="33"/>
        <v>15000</v>
      </c>
      <c r="Z28" s="74">
        <f>SUM($Y$20:Y28)*1.3*3.7/1000000</f>
        <v>0.43290000000000001</v>
      </c>
      <c r="AA28" s="68">
        <f t="shared" si="11"/>
        <v>57.30500183338291</v>
      </c>
      <c r="AB28" s="68">
        <f t="shared" si="12"/>
        <v>28.436050916691453</v>
      </c>
      <c r="AC28" s="47">
        <f t="shared" si="13"/>
        <v>13.269163802570548</v>
      </c>
      <c r="AE28" s="4">
        <v>2027</v>
      </c>
      <c r="AF28" s="53">
        <f t="shared" si="14"/>
        <v>1.2271021115035121</v>
      </c>
      <c r="AG28" s="54">
        <f t="shared" si="15"/>
        <v>1.2598714862693314</v>
      </c>
      <c r="AH28" s="54">
        <f t="shared" si="16"/>
        <v>0.9739899068095792</v>
      </c>
      <c r="AI28" s="55">
        <f t="shared" si="17"/>
        <v>1.1535684550755645</v>
      </c>
      <c r="AJ28" s="44">
        <f t="shared" si="18"/>
        <v>1.0904239258905386</v>
      </c>
      <c r="AK28" s="47">
        <f t="shared" si="19"/>
        <v>0.98106615952135856</v>
      </c>
      <c r="AL28" s="47">
        <f t="shared" si="20"/>
        <v>13.269163802570548</v>
      </c>
      <c r="AM28" s="47">
        <f t="shared" si="21"/>
        <v>3.0970787006442508</v>
      </c>
      <c r="AN28" s="47">
        <f t="shared" si="22"/>
        <v>12.069808413476656</v>
      </c>
      <c r="AO28" s="54">
        <f t="shared" si="23"/>
        <v>0.43290000000000001</v>
      </c>
      <c r="AP28" s="47">
        <f t="shared" si="24"/>
        <v>28.868950916691453</v>
      </c>
    </row>
    <row r="29" spans="2:42" x14ac:dyDescent="0.35">
      <c r="B29" s="4">
        <v>2028</v>
      </c>
      <c r="C29" s="66">
        <f t="shared" si="25"/>
        <v>2.3E-2</v>
      </c>
      <c r="D29" s="37">
        <f t="shared" si="26"/>
        <v>90.760030762923108</v>
      </c>
      <c r="E29" s="57">
        <f t="shared" si="0"/>
        <v>2.5999999999999999E-2</v>
      </c>
      <c r="F29" s="69">
        <f t="shared" si="27"/>
        <v>193.89422173685011</v>
      </c>
      <c r="G29" s="40">
        <f t="shared" si="1"/>
        <v>468.09043585683054</v>
      </c>
      <c r="H29" s="70">
        <f t="shared" si="28"/>
        <v>1.6E-2</v>
      </c>
      <c r="I29" s="42">
        <f t="shared" si="29"/>
        <v>2846.8500618166031</v>
      </c>
      <c r="J29" s="59">
        <f t="shared" si="2"/>
        <v>1E-3</v>
      </c>
      <c r="K29" s="60">
        <f t="shared" si="3"/>
        <v>6.0000000000000001E-3</v>
      </c>
      <c r="L29" s="60">
        <f t="shared" si="4"/>
        <v>0</v>
      </c>
      <c r="M29" s="71">
        <f>IF(SUM($K$19:K29)&lt;6%,M28*(I29/I28-J29-K29-L29),M28*(I29/I28-J29-L29))</f>
        <v>24155.918913825131</v>
      </c>
      <c r="N29" s="62">
        <f t="shared" si="5"/>
        <v>-3.0000000000000001E-3</v>
      </c>
      <c r="O29" s="47">
        <f t="shared" si="30"/>
        <v>2.4454124779112707</v>
      </c>
      <c r="P29" s="47">
        <f t="shared" si="6"/>
        <v>27.650656980044587</v>
      </c>
      <c r="Q29" s="64">
        <f t="shared" si="7"/>
        <v>0.5</v>
      </c>
      <c r="R29" s="47">
        <f t="shared" si="8"/>
        <v>13.825328490022294</v>
      </c>
      <c r="S29" s="59">
        <f>0</f>
        <v>0</v>
      </c>
      <c r="T29" s="72">
        <f t="shared" si="31"/>
        <v>0.5544</v>
      </c>
      <c r="U29" s="66">
        <f t="shared" si="34"/>
        <v>0.05</v>
      </c>
      <c r="V29" s="73">
        <f>IF(SUM($U$19:U29)&lt;55%,V28*(1-U29),V28)</f>
        <v>2.0525557499999998</v>
      </c>
      <c r="W29" s="47">
        <f t="shared" si="9"/>
        <v>57.127908714269353</v>
      </c>
      <c r="X29" s="47">
        <f t="shared" si="10"/>
        <v>28.563954357134676</v>
      </c>
      <c r="Y29" s="51">
        <f t="shared" si="33"/>
        <v>15000</v>
      </c>
      <c r="Z29" s="74">
        <f>SUM($Y$20:Y29)*1.3*3.7/1000000</f>
        <v>0.50505</v>
      </c>
      <c r="AA29" s="68">
        <f t="shared" si="11"/>
        <v>56.622858714269356</v>
      </c>
      <c r="AB29" s="68">
        <f t="shared" si="12"/>
        <v>28.058904357134676</v>
      </c>
      <c r="AC29" s="47">
        <f t="shared" si="13"/>
        <v>13.320278490022293</v>
      </c>
      <c r="AE29" s="4">
        <v>2028</v>
      </c>
      <c r="AF29" s="53">
        <f t="shared" si="14"/>
        <v>1.2553254600680928</v>
      </c>
      <c r="AG29" s="54">
        <f t="shared" si="15"/>
        <v>1.292628144912334</v>
      </c>
      <c r="AH29" s="54">
        <f t="shared" si="16"/>
        <v>0.97114198310545752</v>
      </c>
      <c r="AI29" s="55">
        <f t="shared" si="17"/>
        <v>1.1720255503567736</v>
      </c>
      <c r="AJ29" s="44">
        <f t="shared" si="18"/>
        <v>1.1067802847788968</v>
      </c>
      <c r="AK29" s="47">
        <f t="shared" si="19"/>
        <v>0.97070132831515799</v>
      </c>
      <c r="AL29" s="47">
        <f t="shared" si="20"/>
        <v>13.320278490022293</v>
      </c>
      <c r="AM29" s="47">
        <f t="shared" si="21"/>
        <v>3.1343432586944</v>
      </c>
      <c r="AN29" s="47">
        <f t="shared" si="22"/>
        <v>11.60428260841798</v>
      </c>
      <c r="AO29" s="54">
        <f t="shared" si="23"/>
        <v>0.50505</v>
      </c>
      <c r="AP29" s="47">
        <f t="shared" si="24"/>
        <v>28.563954357134676</v>
      </c>
    </row>
    <row r="30" spans="2:42" x14ac:dyDescent="0.35">
      <c r="B30" s="4">
        <v>2029</v>
      </c>
      <c r="C30" s="66">
        <f t="shared" si="25"/>
        <v>2.3E-2</v>
      </c>
      <c r="D30" s="37">
        <f t="shared" si="26"/>
        <v>92.847511470470337</v>
      </c>
      <c r="E30" s="57">
        <f t="shared" si="0"/>
        <v>2.5999999999999999E-2</v>
      </c>
      <c r="F30" s="69">
        <f t="shared" si="27"/>
        <v>198.93547150200823</v>
      </c>
      <c r="G30" s="40">
        <f t="shared" si="1"/>
        <v>466.72175037186895</v>
      </c>
      <c r="H30" s="70">
        <f t="shared" si="28"/>
        <v>1.6E-2</v>
      </c>
      <c r="I30" s="42">
        <f t="shared" si="29"/>
        <v>2892.3996628056689</v>
      </c>
      <c r="J30" s="59">
        <f t="shared" si="2"/>
        <v>1E-3</v>
      </c>
      <c r="K30" s="60">
        <f t="shared" si="3"/>
        <v>6.0000000000000001E-3</v>
      </c>
      <c r="L30" s="60">
        <f t="shared" si="4"/>
        <v>0</v>
      </c>
      <c r="M30" s="71">
        <f>IF(SUM($K$19:K30)&lt;6%,M29*(I30/I29-J30-K30-L30),M29*(I30/I29-J30-L30))</f>
        <v>24518.25769753251</v>
      </c>
      <c r="N30" s="62">
        <f t="shared" si="5"/>
        <v>-3.0000000000000001E-3</v>
      </c>
      <c r="O30" s="47">
        <f t="shared" si="30"/>
        <v>2.4380762404775367</v>
      </c>
      <c r="P30" s="47">
        <f t="shared" si="6"/>
        <v>27.899404149784175</v>
      </c>
      <c r="Q30" s="64">
        <f t="shared" si="7"/>
        <v>0.5</v>
      </c>
      <c r="R30" s="47">
        <f t="shared" si="8"/>
        <v>13.949702074892087</v>
      </c>
      <c r="S30" s="59">
        <f>0</f>
        <v>0</v>
      </c>
      <c r="T30" s="72">
        <f t="shared" si="31"/>
        <v>0.5544</v>
      </c>
      <c r="U30" s="66">
        <f t="shared" si="34"/>
        <v>0.05</v>
      </c>
      <c r="V30" s="73">
        <f>IF(SUM($U$19:U30)&lt;55%,V29*(1-U30),V29)</f>
        <v>1.9499279624999997</v>
      </c>
      <c r="W30" s="47">
        <f t="shared" si="9"/>
        <v>56.556940279871718</v>
      </c>
      <c r="X30" s="47">
        <f t="shared" si="10"/>
        <v>28.278470139935859</v>
      </c>
      <c r="Y30" s="51">
        <f t="shared" si="33"/>
        <v>15000</v>
      </c>
      <c r="Z30" s="74">
        <f>SUM($Y$20:Y30)*1.3*3.7/1000000</f>
        <v>0.57720000000000005</v>
      </c>
      <c r="AA30" s="68">
        <f t="shared" si="11"/>
        <v>55.97974027987172</v>
      </c>
      <c r="AB30" s="68">
        <f t="shared" si="12"/>
        <v>27.701270139935858</v>
      </c>
      <c r="AC30" s="47">
        <f t="shared" si="13"/>
        <v>13.372502074892088</v>
      </c>
      <c r="AE30" s="4">
        <v>2029</v>
      </c>
      <c r="AF30" s="53">
        <f t="shared" si="14"/>
        <v>1.2841979456496588</v>
      </c>
      <c r="AG30" s="54">
        <f t="shared" si="15"/>
        <v>1.326236476680055</v>
      </c>
      <c r="AH30" s="54">
        <f t="shared" si="16"/>
        <v>0.96830238666362856</v>
      </c>
      <c r="AI30" s="55">
        <f t="shared" si="17"/>
        <v>1.1907779591624821</v>
      </c>
      <c r="AJ30" s="44">
        <f t="shared" si="18"/>
        <v>1.1233819890505803</v>
      </c>
      <c r="AK30" s="47">
        <f t="shared" si="19"/>
        <v>0.96099959355591991</v>
      </c>
      <c r="AL30" s="47">
        <f t="shared" si="20"/>
        <v>13.372502074892088</v>
      </c>
      <c r="AM30" s="47">
        <f t="shared" si="21"/>
        <v>3.1720561900088078</v>
      </c>
      <c r="AN30" s="47">
        <f t="shared" si="22"/>
        <v>11.156711875034967</v>
      </c>
      <c r="AO30" s="54">
        <f t="shared" si="23"/>
        <v>0.57720000000000005</v>
      </c>
      <c r="AP30" s="47">
        <f t="shared" si="24"/>
        <v>28.278470139935859</v>
      </c>
    </row>
    <row r="31" spans="2:42" x14ac:dyDescent="0.35">
      <c r="B31" s="4">
        <v>2030</v>
      </c>
      <c r="C31" s="66">
        <f t="shared" si="25"/>
        <v>2.3E-2</v>
      </c>
      <c r="D31" s="37">
        <f t="shared" si="26"/>
        <v>94.983004234291144</v>
      </c>
      <c r="E31" s="57">
        <f t="shared" si="0"/>
        <v>2.5999999999999999E-2</v>
      </c>
      <c r="F31" s="69">
        <f t="shared" si="27"/>
        <v>204.10779376106044</v>
      </c>
      <c r="G31" s="40">
        <f t="shared" si="1"/>
        <v>465.35706689124947</v>
      </c>
      <c r="H31" s="70">
        <f t="shared" si="28"/>
        <v>1.6E-2</v>
      </c>
      <c r="I31" s="42">
        <f t="shared" si="29"/>
        <v>2938.6780574105596</v>
      </c>
      <c r="J31" s="59">
        <f t="shared" si="2"/>
        <v>1E-3</v>
      </c>
      <c r="K31" s="60">
        <f t="shared" si="3"/>
        <v>6.0000000000000001E-3</v>
      </c>
      <c r="L31" s="60">
        <f t="shared" si="4"/>
        <v>3.0000000000000001E-3</v>
      </c>
      <c r="M31" s="71">
        <f>IF(SUM($K$19:K31)&lt;6%,M30*(I31/I30-J31-K31-L31),M30*(I31/I30-J31-L31))</f>
        <v>24812.476789902907</v>
      </c>
      <c r="N31" s="62">
        <f t="shared" si="5"/>
        <v>-3.0000000000000001E-3</v>
      </c>
      <c r="O31" s="47">
        <f t="shared" si="30"/>
        <v>2.4307620117561042</v>
      </c>
      <c r="P31" s="47">
        <f t="shared" si="6"/>
        <v>28.067185945399853</v>
      </c>
      <c r="Q31" s="64">
        <f t="shared" si="7"/>
        <v>0.5</v>
      </c>
      <c r="R31" s="47">
        <f t="shared" si="8"/>
        <v>14.033592972699926</v>
      </c>
      <c r="S31" s="59">
        <f t="shared" ref="S31:S51" si="35">$S$8</f>
        <v>0</v>
      </c>
      <c r="T31" s="72">
        <f t="shared" si="31"/>
        <v>0.5544</v>
      </c>
      <c r="U31" s="66">
        <f t="shared" si="34"/>
        <v>0.05</v>
      </c>
      <c r="V31" s="73">
        <f>IF(SUM($U$19:U31)&lt;55%,V30*(1-U31),V30)</f>
        <v>1.8524315643749996</v>
      </c>
      <c r="W31" s="47">
        <f t="shared" si="9"/>
        <v>55.858055117230897</v>
      </c>
      <c r="X31" s="47">
        <f t="shared" si="10"/>
        <v>27.929027558615449</v>
      </c>
      <c r="Y31" s="51">
        <f t="shared" si="33"/>
        <v>15000</v>
      </c>
      <c r="Z31" s="74">
        <f>SUM($Y$20:Y31)*1.3*3.7/1000000</f>
        <v>0.64934999999999998</v>
      </c>
      <c r="AA31" s="68">
        <f t="shared" si="11"/>
        <v>55.208705117230899</v>
      </c>
      <c r="AB31" s="68">
        <f t="shared" si="12"/>
        <v>27.27967755861545</v>
      </c>
      <c r="AC31" s="47">
        <f t="shared" si="13"/>
        <v>13.384242972699926</v>
      </c>
      <c r="AE31" s="4">
        <v>2030</v>
      </c>
      <c r="AF31" s="53">
        <f t="shared" si="14"/>
        <v>1.3137344983996009</v>
      </c>
      <c r="AG31" s="54">
        <f t="shared" si="15"/>
        <v>1.3607186250737362</v>
      </c>
      <c r="AH31" s="54">
        <f t="shared" si="16"/>
        <v>0.96547109313537238</v>
      </c>
      <c r="AI31" s="55">
        <f t="shared" si="17"/>
        <v>1.2098304065090817</v>
      </c>
      <c r="AJ31" s="44">
        <f t="shared" si="18"/>
        <v>1.1368625729191877</v>
      </c>
      <c r="AK31" s="47">
        <f t="shared" si="19"/>
        <v>0.9491243337926345</v>
      </c>
      <c r="AL31" s="47">
        <f t="shared" si="20"/>
        <v>13.384242972699926</v>
      </c>
      <c r="AM31" s="47">
        <f t="shared" si="21"/>
        <v>3.2007345459722796</v>
      </c>
      <c r="AN31" s="47">
        <f t="shared" si="22"/>
        <v>10.694700039943244</v>
      </c>
      <c r="AO31" s="54">
        <f t="shared" si="23"/>
        <v>0.64934999999999998</v>
      </c>
      <c r="AP31" s="47">
        <f t="shared" si="24"/>
        <v>27.929027558615449</v>
      </c>
    </row>
    <row r="32" spans="2:42" x14ac:dyDescent="0.35">
      <c r="B32" s="4">
        <v>2031</v>
      </c>
      <c r="C32" s="66">
        <f t="shared" si="25"/>
        <v>2.3E-2</v>
      </c>
      <c r="D32" s="37">
        <f t="shared" si="26"/>
        <v>97.167613331679831</v>
      </c>
      <c r="E32" s="57">
        <f t="shared" si="0"/>
        <v>2.5999999999999999E-2</v>
      </c>
      <c r="F32" s="69">
        <f t="shared" si="27"/>
        <v>209.414596398848</v>
      </c>
      <c r="G32" s="40">
        <f t="shared" si="1"/>
        <v>463.99637371320478</v>
      </c>
      <c r="H32" s="70">
        <f t="shared" si="28"/>
        <v>1.6E-2</v>
      </c>
      <c r="I32" s="42">
        <f t="shared" si="29"/>
        <v>2985.6969063291285</v>
      </c>
      <c r="J32" s="59">
        <f t="shared" si="2"/>
        <v>1E-3</v>
      </c>
      <c r="K32" s="60">
        <f t="shared" si="3"/>
        <v>6.0000000000000001E-3</v>
      </c>
      <c r="L32" s="60">
        <f t="shared" si="4"/>
        <v>3.0000000000000001E-3</v>
      </c>
      <c r="M32" s="71">
        <f>IF(SUM($K$32:K32)&lt;4%,M31*(I32/I31-J32-K32-L32),M31*(I32/I31-J32-L32))</f>
        <v>24961.351650642329</v>
      </c>
      <c r="N32" s="62">
        <f t="shared" si="5"/>
        <v>-3.0000000000000001E-3</v>
      </c>
      <c r="O32" s="47">
        <f t="shared" si="30"/>
        <v>2.4234697257208357</v>
      </c>
      <c r="P32" s="47">
        <f t="shared" si="6"/>
        <v>28.068569772561879</v>
      </c>
      <c r="Q32" s="64">
        <f t="shared" si="7"/>
        <v>0.5</v>
      </c>
      <c r="R32" s="47">
        <f t="shared" si="8"/>
        <v>14.03428488628094</v>
      </c>
      <c r="S32" s="59">
        <f t="shared" si="35"/>
        <v>0</v>
      </c>
      <c r="T32" s="72">
        <f t="shared" si="31"/>
        <v>0.5544</v>
      </c>
      <c r="U32" s="66">
        <f t="shared" si="34"/>
        <v>0.05</v>
      </c>
      <c r="V32" s="73">
        <f>IF(SUM($U$19:U32)&lt;55%,V31*(1-U32),V31)</f>
        <v>1.7598099861562495</v>
      </c>
      <c r="W32" s="47">
        <f t="shared" si="9"/>
        <v>54.871695792824205</v>
      </c>
      <c r="X32" s="47">
        <f t="shared" si="10"/>
        <v>27.435847896412103</v>
      </c>
      <c r="Y32" s="51">
        <f t="shared" si="33"/>
        <v>15000</v>
      </c>
      <c r="Z32" s="74">
        <f>SUM($Y$20:Y32)*1.3*3.7/1000000</f>
        <v>0.72150000000000003</v>
      </c>
      <c r="AA32" s="68">
        <f t="shared" si="11"/>
        <v>54.150195792824206</v>
      </c>
      <c r="AB32" s="68">
        <f t="shared" si="12"/>
        <v>26.714347896412104</v>
      </c>
      <c r="AC32" s="47">
        <f t="shared" si="13"/>
        <v>13.312784886280939</v>
      </c>
      <c r="AE32" s="4">
        <v>2031</v>
      </c>
      <c r="AF32" s="53">
        <f t="shared" si="14"/>
        <v>1.3439503918627915</v>
      </c>
      <c r="AG32" s="54">
        <f t="shared" si="15"/>
        <v>1.3960973093256535</v>
      </c>
      <c r="AH32" s="54">
        <f t="shared" si="16"/>
        <v>0.96264807824316345</v>
      </c>
      <c r="AI32" s="55">
        <f t="shared" si="17"/>
        <v>1.2291876930132271</v>
      </c>
      <c r="AJ32" s="44">
        <f t="shared" si="18"/>
        <v>1.1436837483567031</v>
      </c>
      <c r="AK32" s="47">
        <f t="shared" si="19"/>
        <v>0.93236439407234051</v>
      </c>
      <c r="AL32" s="47">
        <f t="shared" si="20"/>
        <v>13.312784886280939</v>
      </c>
      <c r="AM32" s="47">
        <f t="shared" si="21"/>
        <v>3.2105239270690258</v>
      </c>
      <c r="AN32" s="47">
        <f t="shared" si="22"/>
        <v>10.191039083062138</v>
      </c>
      <c r="AO32" s="54">
        <f t="shared" si="23"/>
        <v>0.72150000000000003</v>
      </c>
      <c r="AP32" s="47">
        <f t="shared" si="24"/>
        <v>27.435847896412103</v>
      </c>
    </row>
    <row r="33" spans="2:42" x14ac:dyDescent="0.35">
      <c r="B33" s="4">
        <v>2032</v>
      </c>
      <c r="C33" s="66">
        <f t="shared" si="25"/>
        <v>2.3E-2</v>
      </c>
      <c r="D33" s="37">
        <f t="shared" si="26"/>
        <v>99.40246843830846</v>
      </c>
      <c r="E33" s="57">
        <f t="shared" si="0"/>
        <v>2.5999999999999999E-2</v>
      </c>
      <c r="F33" s="69">
        <f t="shared" si="27"/>
        <v>214.85937590521806</v>
      </c>
      <c r="G33" s="40">
        <f t="shared" si="1"/>
        <v>462.63965917018368</v>
      </c>
      <c r="H33" s="70">
        <f t="shared" si="28"/>
        <v>1.6E-2</v>
      </c>
      <c r="I33" s="42">
        <f t="shared" si="29"/>
        <v>3033.4680568303947</v>
      </c>
      <c r="J33" s="59">
        <f t="shared" si="2"/>
        <v>1E-3</v>
      </c>
      <c r="K33" s="60">
        <f t="shared" si="3"/>
        <v>6.0000000000000001E-3</v>
      </c>
      <c r="L33" s="60">
        <f t="shared" si="4"/>
        <v>3.0000000000000001E-3</v>
      </c>
      <c r="M33" s="71">
        <f>IF(SUM($K$32:K33)&lt;4%,M32*(I33/I32-J33-K33-L33),M32*(I33/I32-J33-L33))</f>
        <v>25111.119760546189</v>
      </c>
      <c r="N33" s="62">
        <f t="shared" si="5"/>
        <v>-3.0000000000000001E-3</v>
      </c>
      <c r="O33" s="47">
        <f t="shared" si="30"/>
        <v>2.4161993165436733</v>
      </c>
      <c r="P33" s="47">
        <f t="shared" si="6"/>
        <v>28.069953667952248</v>
      </c>
      <c r="Q33" s="64">
        <f t="shared" si="7"/>
        <v>0.5</v>
      </c>
      <c r="R33" s="47">
        <f t="shared" si="8"/>
        <v>14.034976833976124</v>
      </c>
      <c r="S33" s="59">
        <f t="shared" si="35"/>
        <v>0</v>
      </c>
      <c r="T33" s="72">
        <f t="shared" si="31"/>
        <v>0.5544</v>
      </c>
      <c r="U33" s="66">
        <f t="shared" si="34"/>
        <v>0.05</v>
      </c>
      <c r="V33" s="73">
        <f>IF(SUM($U$19:U33)&lt;55%,V32*(1-U33),V32)</f>
        <v>1.6718194868484368</v>
      </c>
      <c r="W33" s="47">
        <f t="shared" si="9"/>
        <v>53.932835683794636</v>
      </c>
      <c r="X33" s="47">
        <f t="shared" si="10"/>
        <v>26.966417841897318</v>
      </c>
      <c r="Y33" s="51">
        <f t="shared" si="33"/>
        <v>15000</v>
      </c>
      <c r="Z33" s="74">
        <f>SUM($Y$20:Y33)*1.3*3.7/1000000</f>
        <v>0.79364999999999997</v>
      </c>
      <c r="AA33" s="68">
        <f t="shared" si="11"/>
        <v>53.139185683794636</v>
      </c>
      <c r="AB33" s="68">
        <f t="shared" si="12"/>
        <v>26.172767841897318</v>
      </c>
      <c r="AC33" s="47">
        <f t="shared" si="13"/>
        <v>13.241326833976125</v>
      </c>
      <c r="AE33" s="4">
        <v>2032</v>
      </c>
      <c r="AF33" s="53">
        <f t="shared" si="14"/>
        <v>1.3748612508756357</v>
      </c>
      <c r="AG33" s="54">
        <f t="shared" si="15"/>
        <v>1.4323958393681204</v>
      </c>
      <c r="AH33" s="54">
        <f t="shared" si="16"/>
        <v>0.9598333177804641</v>
      </c>
      <c r="AI33" s="55">
        <f t="shared" si="17"/>
        <v>1.2488546961014388</v>
      </c>
      <c r="AJ33" s="44">
        <f t="shared" si="18"/>
        <v>1.1505458508468436</v>
      </c>
      <c r="AK33" s="47">
        <f t="shared" si="19"/>
        <v>0.91641154763619082</v>
      </c>
      <c r="AL33" s="47">
        <f t="shared" si="20"/>
        <v>13.241326833976125</v>
      </c>
      <c r="AM33" s="47">
        <f t="shared" si="21"/>
        <v>3.220343248787489</v>
      </c>
      <c r="AN33" s="47">
        <f t="shared" si="22"/>
        <v>9.7110977591337075</v>
      </c>
      <c r="AO33" s="54">
        <f t="shared" si="23"/>
        <v>0.79364999999999997</v>
      </c>
      <c r="AP33" s="47">
        <f t="shared" si="24"/>
        <v>26.966417841897318</v>
      </c>
    </row>
    <row r="34" spans="2:42" x14ac:dyDescent="0.35">
      <c r="B34" s="4">
        <v>2033</v>
      </c>
      <c r="C34" s="66">
        <f t="shared" si="25"/>
        <v>2.3E-2</v>
      </c>
      <c r="D34" s="37">
        <f t="shared" si="26"/>
        <v>101.68872521238954</v>
      </c>
      <c r="E34" s="57">
        <f t="shared" si="0"/>
        <v>2.5999999999999999E-2</v>
      </c>
      <c r="F34" s="69">
        <f t="shared" si="27"/>
        <v>220.44571967875373</v>
      </c>
      <c r="G34" s="40">
        <f t="shared" si="1"/>
        <v>461.28691162875037</v>
      </c>
      <c r="H34" s="70">
        <f t="shared" si="28"/>
        <v>1.6E-2</v>
      </c>
      <c r="I34" s="42">
        <f t="shared" si="29"/>
        <v>3082.0035457396812</v>
      </c>
      <c r="J34" s="59">
        <f t="shared" si="2"/>
        <v>1E-3</v>
      </c>
      <c r="K34" s="60">
        <f t="shared" si="3"/>
        <v>6.0000000000000001E-3</v>
      </c>
      <c r="L34" s="60">
        <f t="shared" si="4"/>
        <v>3.0000000000000001E-3</v>
      </c>
      <c r="M34" s="71">
        <f>IF(SUM($K$32:K34)&lt;4%,M33*(I34/I33-J34-K34-L34),M33*(I34/I33-J34-L34))</f>
        <v>25261.786479109473</v>
      </c>
      <c r="N34" s="62">
        <f t="shared" si="5"/>
        <v>-3.0000000000000001E-3</v>
      </c>
      <c r="O34" s="47">
        <f t="shared" si="30"/>
        <v>2.4089507185940424</v>
      </c>
      <c r="P34" s="47">
        <f t="shared" si="6"/>
        <v>28.07133763157433</v>
      </c>
      <c r="Q34" s="64">
        <f t="shared" si="7"/>
        <v>0.5</v>
      </c>
      <c r="R34" s="47">
        <f t="shared" si="8"/>
        <v>14.035668815787165</v>
      </c>
      <c r="S34" s="59">
        <f t="shared" si="35"/>
        <v>0</v>
      </c>
      <c r="T34" s="72">
        <f t="shared" si="31"/>
        <v>0.5544</v>
      </c>
      <c r="U34" s="66">
        <f t="shared" si="34"/>
        <v>0.05</v>
      </c>
      <c r="V34" s="73">
        <f>IF(SUM($U$19:U34)&lt;55%,V33*(1-U34),V33)</f>
        <v>1.5882285125060149</v>
      </c>
      <c r="W34" s="47">
        <f t="shared" si="9"/>
        <v>53.039240847418448</v>
      </c>
      <c r="X34" s="47">
        <f t="shared" si="10"/>
        <v>26.519620423709224</v>
      </c>
      <c r="Y34" s="51">
        <f t="shared" si="33"/>
        <v>15000</v>
      </c>
      <c r="Z34" s="74">
        <f>SUM($Y$20:Y34)*1.3*3.7/1000000</f>
        <v>0.86580000000000001</v>
      </c>
      <c r="AA34" s="68">
        <f t="shared" si="11"/>
        <v>52.173440847418448</v>
      </c>
      <c r="AB34" s="68">
        <f t="shared" si="12"/>
        <v>25.653820423709224</v>
      </c>
      <c r="AC34" s="47">
        <f t="shared" si="13"/>
        <v>13.169868815787165</v>
      </c>
      <c r="AE34" s="4">
        <v>2033</v>
      </c>
      <c r="AF34" s="53">
        <f t="shared" si="14"/>
        <v>1.4064830596457751</v>
      </c>
      <c r="AG34" s="54">
        <f t="shared" si="15"/>
        <v>1.4696381311916915</v>
      </c>
      <c r="AH34" s="54">
        <f t="shared" si="16"/>
        <v>0.95702678761151527</v>
      </c>
      <c r="AI34" s="55">
        <f t="shared" si="17"/>
        <v>1.2688363712390618</v>
      </c>
      <c r="AJ34" s="44">
        <f t="shared" si="18"/>
        <v>1.1574491259519248</v>
      </c>
      <c r="AK34" s="47">
        <f t="shared" si="19"/>
        <v>0.90122783595886713</v>
      </c>
      <c r="AL34" s="47">
        <f t="shared" si="20"/>
        <v>13.169868815787165</v>
      </c>
      <c r="AM34" s="47">
        <f t="shared" si="21"/>
        <v>3.2301926027004475</v>
      </c>
      <c r="AN34" s="47">
        <f t="shared" si="22"/>
        <v>9.2537590052216192</v>
      </c>
      <c r="AO34" s="54">
        <f t="shared" si="23"/>
        <v>0.86580000000000001</v>
      </c>
      <c r="AP34" s="47">
        <f t="shared" si="24"/>
        <v>26.519620423709224</v>
      </c>
    </row>
    <row r="35" spans="2:42" x14ac:dyDescent="0.35">
      <c r="B35" s="4">
        <v>2034</v>
      </c>
      <c r="C35" s="66">
        <f t="shared" si="25"/>
        <v>2.3E-2</v>
      </c>
      <c r="D35" s="37">
        <f t="shared" si="26"/>
        <v>104.0275658922745</v>
      </c>
      <c r="E35" s="57">
        <f t="shared" si="0"/>
        <v>2.5999999999999999E-2</v>
      </c>
      <c r="F35" s="69">
        <f t="shared" si="27"/>
        <v>226.17730839040132</v>
      </c>
      <c r="G35" s="40">
        <f t="shared" si="1"/>
        <v>459.93811948948496</v>
      </c>
      <c r="H35" s="70">
        <f t="shared" si="28"/>
        <v>1.6E-2</v>
      </c>
      <c r="I35" s="42">
        <f t="shared" si="29"/>
        <v>3131.3156024715163</v>
      </c>
      <c r="J35" s="59">
        <f t="shared" si="2"/>
        <v>1E-3</v>
      </c>
      <c r="K35" s="60">
        <f t="shared" si="3"/>
        <v>6.0000000000000001E-3</v>
      </c>
      <c r="L35" s="60">
        <f t="shared" si="4"/>
        <v>3.0000000000000001E-3</v>
      </c>
      <c r="M35" s="71">
        <f>IF(SUM($K$32:K35)&lt;4%,M34*(I35/I34-J35-K35-L35),M34*(I35/I34-J35-L35))</f>
        <v>25413.357197984136</v>
      </c>
      <c r="N35" s="62">
        <f t="shared" si="5"/>
        <v>-3.0000000000000001E-3</v>
      </c>
      <c r="O35" s="47">
        <f t="shared" si="30"/>
        <v>2.4017238664382603</v>
      </c>
      <c r="P35" s="47">
        <f t="shared" si="6"/>
        <v>28.072721663431476</v>
      </c>
      <c r="Q35" s="64">
        <f t="shared" si="7"/>
        <v>0.5</v>
      </c>
      <c r="R35" s="47">
        <f t="shared" si="8"/>
        <v>14.036360831715738</v>
      </c>
      <c r="S35" s="59">
        <f t="shared" si="35"/>
        <v>0</v>
      </c>
      <c r="T35" s="72">
        <f t="shared" si="31"/>
        <v>0.5544</v>
      </c>
      <c r="U35" s="66">
        <f t="shared" si="34"/>
        <v>0.05</v>
      </c>
      <c r="V35" s="73">
        <f>IF(SUM($U$19:U35)&lt;55%,V34*(1-U35),V34)</f>
        <v>1.508817086880714</v>
      </c>
      <c r="W35" s="47">
        <f t="shared" si="9"/>
        <v>52.188782556448849</v>
      </c>
      <c r="X35" s="47">
        <f t="shared" si="10"/>
        <v>26.094391278224425</v>
      </c>
      <c r="Y35" s="51">
        <f t="shared" si="33"/>
        <v>15000</v>
      </c>
      <c r="Z35" s="74">
        <f>SUM($Y$20:Y35)*1.3*3.7/1000000</f>
        <v>0.93794999999999995</v>
      </c>
      <c r="AA35" s="68">
        <f t="shared" si="11"/>
        <v>51.250832556448849</v>
      </c>
      <c r="AB35" s="68">
        <f t="shared" si="12"/>
        <v>25.156441278224424</v>
      </c>
      <c r="AC35" s="47">
        <f t="shared" si="13"/>
        <v>13.098410831715738</v>
      </c>
      <c r="AE35" s="4">
        <v>2034</v>
      </c>
      <c r="AF35" s="53">
        <f t="shared" si="14"/>
        <v>1.4388321700176279</v>
      </c>
      <c r="AG35" s="54">
        <f t="shared" si="15"/>
        <v>1.5078487226026756</v>
      </c>
      <c r="AH35" s="54">
        <f t="shared" si="16"/>
        <v>0.95422846367113068</v>
      </c>
      <c r="AI35" s="55">
        <f t="shared" si="17"/>
        <v>1.2891377531788868</v>
      </c>
      <c r="AJ35" s="44">
        <f t="shared" si="18"/>
        <v>1.1643938207076368</v>
      </c>
      <c r="AK35" s="47">
        <f t="shared" si="19"/>
        <v>0.88677708830678958</v>
      </c>
      <c r="AL35" s="47">
        <f t="shared" si="20"/>
        <v>13.098410831715738</v>
      </c>
      <c r="AM35" s="47">
        <f t="shared" si="21"/>
        <v>3.2400720806607541</v>
      </c>
      <c r="AN35" s="47">
        <f t="shared" si="22"/>
        <v>8.8179583658479324</v>
      </c>
      <c r="AO35" s="54">
        <f t="shared" si="23"/>
        <v>0.93794999999999995</v>
      </c>
      <c r="AP35" s="47">
        <f t="shared" si="24"/>
        <v>26.094391278224425</v>
      </c>
    </row>
    <row r="36" spans="2:42" x14ac:dyDescent="0.35">
      <c r="B36" s="4">
        <v>2035</v>
      </c>
      <c r="C36" s="66">
        <f t="shared" si="25"/>
        <v>2.3E-2</v>
      </c>
      <c r="D36" s="37">
        <f t="shared" si="26"/>
        <v>106.4201999077968</v>
      </c>
      <c r="E36" s="57">
        <f t="shared" si="0"/>
        <v>2.5999999999999999E-2</v>
      </c>
      <c r="F36" s="69">
        <f t="shared" si="27"/>
        <v>232.05791840855176</v>
      </c>
      <c r="G36" s="40">
        <f t="shared" si="1"/>
        <v>458.59327118688407</v>
      </c>
      <c r="H36" s="70">
        <f t="shared" si="28"/>
        <v>1.6E-2</v>
      </c>
      <c r="I36" s="42">
        <f t="shared" si="29"/>
        <v>3181.4166521110606</v>
      </c>
      <c r="J36" s="59">
        <f t="shared" si="2"/>
        <v>1E-3</v>
      </c>
      <c r="K36" s="60">
        <f t="shared" si="3"/>
        <v>6.0000000000000001E-3</v>
      </c>
      <c r="L36" s="60">
        <f t="shared" si="4"/>
        <v>3.0000000000000001E-3</v>
      </c>
      <c r="M36" s="71">
        <f>IF(SUM($K$32:K36)&lt;4%,M35*(I36/I35-J36-K36-L36),M35*(I36/I35-J36-L36))</f>
        <v>25565.837341172046</v>
      </c>
      <c r="N36" s="62">
        <f t="shared" si="5"/>
        <v>-3.0000000000000001E-3</v>
      </c>
      <c r="O36" s="47">
        <f t="shared" si="30"/>
        <v>2.3945186948389456</v>
      </c>
      <c r="P36" s="47">
        <f t="shared" si="6"/>
        <v>28.074105763527058</v>
      </c>
      <c r="Q36" s="64">
        <f t="shared" si="7"/>
        <v>0.5</v>
      </c>
      <c r="R36" s="47">
        <f t="shared" si="8"/>
        <v>14.037052881763529</v>
      </c>
      <c r="S36" s="59">
        <f t="shared" si="35"/>
        <v>0</v>
      </c>
      <c r="T36" s="72">
        <f t="shared" si="31"/>
        <v>0.5544</v>
      </c>
      <c r="U36" s="66">
        <f t="shared" si="34"/>
        <v>0.05</v>
      </c>
      <c r="V36" s="73">
        <f>IF(SUM($U$19:U36)&lt;55%,V35*(1-U36),V35)</f>
        <v>1.508817086880714</v>
      </c>
      <c r="W36" s="47">
        <f t="shared" si="9"/>
        <v>52.263925135182134</v>
      </c>
      <c r="X36" s="47">
        <f t="shared" si="10"/>
        <v>26.131962567591067</v>
      </c>
      <c r="Y36" s="51">
        <f t="shared" si="33"/>
        <v>15000</v>
      </c>
      <c r="Z36" s="74">
        <f>SUM($Y$20:Y36)*1.3*3.7/1000000</f>
        <v>1.0101</v>
      </c>
      <c r="AA36" s="68">
        <f t="shared" si="11"/>
        <v>51.253825135182133</v>
      </c>
      <c r="AB36" s="68">
        <f t="shared" si="12"/>
        <v>25.121862567591066</v>
      </c>
      <c r="AC36" s="47">
        <f t="shared" si="13"/>
        <v>13.026952881763529</v>
      </c>
      <c r="AE36" s="4">
        <v>2035</v>
      </c>
      <c r="AF36" s="53">
        <f t="shared" si="14"/>
        <v>1.4719253099280332</v>
      </c>
      <c r="AG36" s="54">
        <f t="shared" si="15"/>
        <v>1.547052789390345</v>
      </c>
      <c r="AH36" s="54">
        <f t="shared" si="16"/>
        <v>0.95143832196448974</v>
      </c>
      <c r="AI36" s="55">
        <f t="shared" si="17"/>
        <v>1.309763957229749</v>
      </c>
      <c r="AJ36" s="44">
        <f t="shared" si="18"/>
        <v>1.1713801836318827</v>
      </c>
      <c r="AK36" s="47">
        <f t="shared" si="19"/>
        <v>0.88805388983219191</v>
      </c>
      <c r="AL36" s="47">
        <f t="shared" si="20"/>
        <v>13.026952881763529</v>
      </c>
      <c r="AM36" s="47">
        <f t="shared" si="21"/>
        <v>3.2499817748021904</v>
      </c>
      <c r="AN36" s="47">
        <f t="shared" si="22"/>
        <v>8.8449279110253496</v>
      </c>
      <c r="AO36" s="54">
        <f t="shared" si="23"/>
        <v>1.0101</v>
      </c>
      <c r="AP36" s="47">
        <f t="shared" si="24"/>
        <v>26.131962567591067</v>
      </c>
    </row>
    <row r="37" spans="2:42" x14ac:dyDescent="0.35">
      <c r="B37" s="4">
        <v>2036</v>
      </c>
      <c r="C37" s="66">
        <f t="shared" si="25"/>
        <v>2.3E-2</v>
      </c>
      <c r="D37" s="37">
        <f t="shared" si="26"/>
        <v>108.86786450567611</v>
      </c>
      <c r="E37" s="57">
        <f t="shared" si="0"/>
        <v>2.5999999999999999E-2</v>
      </c>
      <c r="F37" s="69">
        <f t="shared" si="27"/>
        <v>238.09142428717411</v>
      </c>
      <c r="G37" s="40">
        <f t="shared" si="1"/>
        <v>457.25235518926155</v>
      </c>
      <c r="H37" s="70">
        <f t="shared" si="28"/>
        <v>1.6E-2</v>
      </c>
      <c r="I37" s="42">
        <f t="shared" si="29"/>
        <v>3232.3193185448376</v>
      </c>
      <c r="J37" s="59">
        <f t="shared" si="2"/>
        <v>1E-3</v>
      </c>
      <c r="K37" s="60">
        <f t="shared" si="3"/>
        <v>6.0000000000000001E-3</v>
      </c>
      <c r="L37" s="60">
        <f t="shared" si="4"/>
        <v>3.0000000000000001E-3</v>
      </c>
      <c r="M37" s="71">
        <f>IF(SUM($K$32:K37)&lt;4%,M36*(I37/I36-J37-K37-L37),M36*(I37/I36-J37-L37))</f>
        <v>25719.232365219083</v>
      </c>
      <c r="N37" s="62">
        <f t="shared" si="5"/>
        <v>-3.0000000000000001E-3</v>
      </c>
      <c r="O37" s="47">
        <f t="shared" si="30"/>
        <v>2.3873351387544286</v>
      </c>
      <c r="P37" s="47">
        <f t="shared" si="6"/>
        <v>28.075489931864443</v>
      </c>
      <c r="Q37" s="64">
        <f t="shared" si="7"/>
        <v>0.5</v>
      </c>
      <c r="R37" s="47">
        <f t="shared" si="8"/>
        <v>14.037744965932221</v>
      </c>
      <c r="S37" s="59">
        <f t="shared" si="35"/>
        <v>0</v>
      </c>
      <c r="T37" s="72">
        <f t="shared" si="31"/>
        <v>0.5544</v>
      </c>
      <c r="U37" s="66">
        <f t="shared" si="34"/>
        <v>0.05</v>
      </c>
      <c r="V37" s="73">
        <f>IF(SUM($U$19:U37)&lt;55%,V36*(1-U37),V36)</f>
        <v>1.508817086880714</v>
      </c>
      <c r="W37" s="47">
        <f t="shared" si="9"/>
        <v>52.339293370954472</v>
      </c>
      <c r="X37" s="47">
        <f t="shared" si="10"/>
        <v>26.169646685477236</v>
      </c>
      <c r="Y37" s="51">
        <f t="shared" si="33"/>
        <v>15000</v>
      </c>
      <c r="Z37" s="74">
        <f>SUM($Y$20:Y37)*1.3*3.7/1000000</f>
        <v>1.0822499999999999</v>
      </c>
      <c r="AA37" s="68">
        <f t="shared" si="11"/>
        <v>51.25704337095447</v>
      </c>
      <c r="AB37" s="68">
        <f t="shared" si="12"/>
        <v>25.087396685477238</v>
      </c>
      <c r="AC37" s="47">
        <f t="shared" si="13"/>
        <v>12.955494965932221</v>
      </c>
      <c r="AE37" s="4">
        <v>2036</v>
      </c>
      <c r="AF37" s="53">
        <f t="shared" si="14"/>
        <v>1.5057795920563777</v>
      </c>
      <c r="AG37" s="54">
        <f t="shared" si="15"/>
        <v>1.5872761619144939</v>
      </c>
      <c r="AH37" s="54">
        <f t="shared" si="16"/>
        <v>0.94865633856693266</v>
      </c>
      <c r="AI37" s="55">
        <f t="shared" si="17"/>
        <v>1.3307201805454252</v>
      </c>
      <c r="AJ37" s="44">
        <f t="shared" si="18"/>
        <v>1.1784084647336743</v>
      </c>
      <c r="AK37" s="47">
        <f t="shared" si="19"/>
        <v>0.88933452565841997</v>
      </c>
      <c r="AL37" s="47">
        <f t="shared" si="20"/>
        <v>12.955494965932221</v>
      </c>
      <c r="AM37" s="47">
        <f t="shared" si="21"/>
        <v>3.2599217775403284</v>
      </c>
      <c r="AN37" s="47">
        <f t="shared" si="22"/>
        <v>8.8719799420046837</v>
      </c>
      <c r="AO37" s="54">
        <f t="shared" si="23"/>
        <v>1.0822499999999999</v>
      </c>
      <c r="AP37" s="47">
        <f t="shared" si="24"/>
        <v>26.169646685477236</v>
      </c>
    </row>
    <row r="38" spans="2:42" x14ac:dyDescent="0.35">
      <c r="B38" s="4">
        <v>2037</v>
      </c>
      <c r="C38" s="66">
        <f t="shared" si="25"/>
        <v>2.3E-2</v>
      </c>
      <c r="D38" s="37">
        <f t="shared" si="26"/>
        <v>111.37182538930665</v>
      </c>
      <c r="E38" s="57">
        <f t="shared" si="0"/>
        <v>2.5999999999999999E-2</v>
      </c>
      <c r="F38" s="69">
        <f t="shared" si="27"/>
        <v>244.28180131864065</v>
      </c>
      <c r="G38" s="40">
        <f t="shared" si="1"/>
        <v>455.91535999864965</v>
      </c>
      <c r="H38" s="70">
        <f t="shared" si="28"/>
        <v>1.6E-2</v>
      </c>
      <c r="I38" s="42">
        <f t="shared" si="29"/>
        <v>3284.0364276415553</v>
      </c>
      <c r="J38" s="59">
        <f t="shared" si="2"/>
        <v>1E-3</v>
      </c>
      <c r="K38" s="60">
        <f t="shared" si="3"/>
        <v>6.0000000000000001E-3</v>
      </c>
      <c r="L38" s="60">
        <f t="shared" si="4"/>
        <v>3.0000000000000001E-3</v>
      </c>
      <c r="M38" s="71">
        <f>IF(SUM($K$32:K38)&lt;4%,M37*(I38/I37-J38-K38-L38),M37*(I38/I37-J38-L38))</f>
        <v>26027.863153601716</v>
      </c>
      <c r="N38" s="62">
        <f t="shared" si="5"/>
        <v>-3.0000000000000001E-3</v>
      </c>
      <c r="O38" s="47">
        <f t="shared" si="30"/>
        <v>2.3801731333381655</v>
      </c>
      <c r="P38" s="47">
        <f t="shared" si="6"/>
        <v>28.244330674421828</v>
      </c>
      <c r="Q38" s="64">
        <f t="shared" si="7"/>
        <v>0.5</v>
      </c>
      <c r="R38" s="47">
        <f t="shared" si="8"/>
        <v>14.122165337210914</v>
      </c>
      <c r="S38" s="59">
        <f t="shared" si="35"/>
        <v>0</v>
      </c>
      <c r="T38" s="72">
        <f t="shared" si="31"/>
        <v>0.5544</v>
      </c>
      <c r="U38" s="66">
        <f t="shared" si="34"/>
        <v>0.05</v>
      </c>
      <c r="V38" s="73">
        <f>IF(SUM($U$19:U38)&lt;55%,V37*(1-U38),V37)</f>
        <v>1.508817086880714</v>
      </c>
      <c r="W38" s="47">
        <f t="shared" si="9"/>
        <v>52.727501599575206</v>
      </c>
      <c r="X38" s="47">
        <f t="shared" si="10"/>
        <v>26.363750799787603</v>
      </c>
      <c r="Y38" s="51">
        <f t="shared" si="33"/>
        <v>15000</v>
      </c>
      <c r="Z38" s="74">
        <f>SUM($Y$20:Y38)*1.3*3.7/1000000</f>
        <v>1.1544000000000001</v>
      </c>
      <c r="AA38" s="68">
        <f t="shared" si="11"/>
        <v>51.573101599575203</v>
      </c>
      <c r="AB38" s="68">
        <f t="shared" si="12"/>
        <v>25.209350799787604</v>
      </c>
      <c r="AC38" s="47">
        <f t="shared" si="13"/>
        <v>12.967765337210913</v>
      </c>
      <c r="AE38" s="4">
        <v>2037</v>
      </c>
      <c r="AF38" s="53">
        <f t="shared" si="14"/>
        <v>1.5404125226736742</v>
      </c>
      <c r="AG38" s="54">
        <f t="shared" si="15"/>
        <v>1.628545342124271</v>
      </c>
      <c r="AH38" s="54">
        <f t="shared" si="16"/>
        <v>0.94588248962375443</v>
      </c>
      <c r="AI38" s="55">
        <f t="shared" si="17"/>
        <v>1.3520117034341521</v>
      </c>
      <c r="AJ38" s="44">
        <f t="shared" si="18"/>
        <v>1.1925493663104785</v>
      </c>
      <c r="AK38" s="47">
        <f t="shared" si="19"/>
        <v>0.89593085049624643</v>
      </c>
      <c r="AL38" s="47">
        <f t="shared" si="20"/>
        <v>12.967765337210913</v>
      </c>
      <c r="AM38" s="47">
        <f t="shared" si="21"/>
        <v>3.2893945206285005</v>
      </c>
      <c r="AN38" s="47">
        <f t="shared" si="22"/>
        <v>8.9521909419481904</v>
      </c>
      <c r="AO38" s="54">
        <f t="shared" si="23"/>
        <v>1.1544000000000001</v>
      </c>
      <c r="AP38" s="47">
        <f t="shared" si="24"/>
        <v>26.363750799787603</v>
      </c>
    </row>
    <row r="39" spans="2:42" x14ac:dyDescent="0.35">
      <c r="B39" s="4">
        <v>2038</v>
      </c>
      <c r="C39" s="66">
        <f t="shared" si="25"/>
        <v>2.3E-2</v>
      </c>
      <c r="D39" s="37">
        <f t="shared" si="26"/>
        <v>113.9333773732607</v>
      </c>
      <c r="E39" s="57">
        <f t="shared" si="0"/>
        <v>2.5999999999999999E-2</v>
      </c>
      <c r="F39" s="69">
        <f t="shared" si="27"/>
        <v>249</v>
      </c>
      <c r="G39" s="40">
        <f t="shared" si="1"/>
        <v>457.56376455124774</v>
      </c>
      <c r="H39" s="70">
        <f t="shared" si="28"/>
        <v>1.6E-2</v>
      </c>
      <c r="I39" s="42">
        <f t="shared" si="29"/>
        <v>3336.5810104838201</v>
      </c>
      <c r="J39" s="59">
        <f t="shared" si="2"/>
        <v>1E-3</v>
      </c>
      <c r="K39" s="60">
        <f t="shared" si="3"/>
        <v>6.0000000000000001E-3</v>
      </c>
      <c r="L39" s="60">
        <f t="shared" si="4"/>
        <v>3.0000000000000001E-3</v>
      </c>
      <c r="M39" s="71">
        <f>IF(SUM($K$32:K39)&lt;4%,M38*(I39/I38-J39-K39-L39),M38*(I39/I38-J39-L39))</f>
        <v>26340.197511444941</v>
      </c>
      <c r="N39" s="62">
        <f t="shared" si="5"/>
        <v>-3.0000000000000001E-3</v>
      </c>
      <c r="O39" s="47">
        <f t="shared" si="30"/>
        <v>2.3730326139381508</v>
      </c>
      <c r="P39" s="47">
        <f t="shared" si="6"/>
        <v>28.600548273107496</v>
      </c>
      <c r="Q39" s="64">
        <f t="shared" si="7"/>
        <v>0.5</v>
      </c>
      <c r="R39" s="47">
        <f t="shared" si="8"/>
        <v>14.300274136553748</v>
      </c>
      <c r="S39" s="59">
        <f t="shared" si="35"/>
        <v>0</v>
      </c>
      <c r="T39" s="72">
        <f t="shared" si="31"/>
        <v>0.5544</v>
      </c>
      <c r="U39" s="66">
        <f t="shared" si="34"/>
        <v>0.05</v>
      </c>
      <c r="V39" s="73">
        <f>IF(SUM($U$19:U39)&lt;55%,V38*(1-U39),V38)</f>
        <v>1.508817086880714</v>
      </c>
      <c r="W39" s="47">
        <f t="shared" si="9"/>
        <v>53.467100694105973</v>
      </c>
      <c r="X39" s="47">
        <f t="shared" si="10"/>
        <v>26.733550347052986</v>
      </c>
      <c r="Y39" s="51">
        <f t="shared" si="33"/>
        <v>15000</v>
      </c>
      <c r="Z39" s="74">
        <f>SUM($Y$20:Y39)*1.3*3.7/1000000</f>
        <v>1.22655</v>
      </c>
      <c r="AA39" s="68">
        <f t="shared" si="11"/>
        <v>52.24055069410597</v>
      </c>
      <c r="AB39" s="68">
        <f t="shared" si="12"/>
        <v>25.507000347052987</v>
      </c>
      <c r="AC39" s="47">
        <f t="shared" si="13"/>
        <v>13.073724136553748</v>
      </c>
      <c r="AE39" s="4">
        <v>2038</v>
      </c>
      <c r="AF39" s="53">
        <f t="shared" si="14"/>
        <v>1.5758420106951687</v>
      </c>
      <c r="AG39" s="54">
        <f t="shared" si="15"/>
        <v>1.66</v>
      </c>
      <c r="AH39" s="54">
        <f t="shared" si="16"/>
        <v>0.94930241608142685</v>
      </c>
      <c r="AI39" s="55">
        <f t="shared" si="17"/>
        <v>1.3736438906890984</v>
      </c>
      <c r="AJ39" s="44">
        <f t="shared" si="18"/>
        <v>1.2068599587062045</v>
      </c>
      <c r="AK39" s="47">
        <f t="shared" si="19"/>
        <v>0.9084979099185071</v>
      </c>
      <c r="AL39" s="47">
        <f t="shared" si="20"/>
        <v>13.073724136553748</v>
      </c>
      <c r="AM39" s="47">
        <f t="shared" si="21"/>
        <v>3.3409030852502353</v>
      </c>
      <c r="AN39" s="47">
        <f t="shared" si="22"/>
        <v>9.0923731252490079</v>
      </c>
      <c r="AO39" s="54">
        <f t="shared" si="23"/>
        <v>1.22655</v>
      </c>
      <c r="AP39" s="47">
        <f t="shared" si="24"/>
        <v>26.733550347052986</v>
      </c>
    </row>
    <row r="40" spans="2:42" x14ac:dyDescent="0.35">
      <c r="B40" s="4">
        <v>2039</v>
      </c>
      <c r="C40" s="66">
        <f t="shared" si="25"/>
        <v>2.3E-2</v>
      </c>
      <c r="D40" s="37">
        <f t="shared" si="26"/>
        <v>116.55384505284569</v>
      </c>
      <c r="E40" s="57">
        <f t="shared" si="0"/>
        <v>2.5999999999999999E-2</v>
      </c>
      <c r="F40" s="69">
        <f t="shared" si="27"/>
        <v>249</v>
      </c>
      <c r="G40" s="40">
        <f t="shared" si="1"/>
        <v>468.08773113592645</v>
      </c>
      <c r="H40" s="70">
        <f t="shared" si="28"/>
        <v>1.6E-2</v>
      </c>
      <c r="I40" s="42">
        <f t="shared" si="29"/>
        <v>3389.9663066515614</v>
      </c>
      <c r="J40" s="59">
        <f t="shared" si="2"/>
        <v>1E-3</v>
      </c>
      <c r="K40" s="60">
        <f t="shared" si="3"/>
        <v>6.0000000000000001E-3</v>
      </c>
      <c r="L40" s="60">
        <f t="shared" si="4"/>
        <v>3.0000000000000001E-3</v>
      </c>
      <c r="M40" s="71">
        <f>IF(SUM($K$32:K40)&lt;4%,M39*(I40/I39-J40-K40-L40),M39*(I40/I39-J40-L40))</f>
        <v>26656.279881582286</v>
      </c>
      <c r="N40" s="62">
        <f t="shared" si="5"/>
        <v>-3.0000000000000001E-3</v>
      </c>
      <c r="O40" s="47">
        <f t="shared" si="30"/>
        <v>2.3659135160963363</v>
      </c>
      <c r="P40" s="47">
        <f t="shared" si="6"/>
        <v>29.520632830347672</v>
      </c>
      <c r="Q40" s="64">
        <f t="shared" si="7"/>
        <v>0.5</v>
      </c>
      <c r="R40" s="47">
        <f t="shared" si="8"/>
        <v>14.760316415173836</v>
      </c>
      <c r="S40" s="59">
        <f t="shared" si="35"/>
        <v>0</v>
      </c>
      <c r="T40" s="72">
        <f t="shared" si="31"/>
        <v>0.5544</v>
      </c>
      <c r="U40" s="66">
        <f t="shared" si="34"/>
        <v>0.05</v>
      </c>
      <c r="V40" s="73">
        <f>IF(SUM($U$19:U40)&lt;55%,V39*(1-U40),V39)</f>
        <v>1.508817086880714</v>
      </c>
      <c r="W40" s="47">
        <f t="shared" si="9"/>
        <v>55.264377754549308</v>
      </c>
      <c r="X40" s="47">
        <f t="shared" si="10"/>
        <v>27.632188877274654</v>
      </c>
      <c r="Y40" s="51">
        <f t="shared" si="33"/>
        <v>15000</v>
      </c>
      <c r="Z40" s="74">
        <f>SUM($Y$20:Y40)*1.3*3.7/1000000</f>
        <v>1.2987</v>
      </c>
      <c r="AA40" s="68">
        <f t="shared" si="11"/>
        <v>53.965677754549311</v>
      </c>
      <c r="AB40" s="68">
        <f t="shared" si="12"/>
        <v>26.333488877274654</v>
      </c>
      <c r="AC40" s="47">
        <f t="shared" si="13"/>
        <v>13.461616415173836</v>
      </c>
      <c r="AE40" s="4">
        <v>2039</v>
      </c>
      <c r="AF40" s="53">
        <f t="shared" si="14"/>
        <v>1.6120863769411575</v>
      </c>
      <c r="AG40" s="54">
        <f t="shared" si="15"/>
        <v>1.66</v>
      </c>
      <c r="AH40" s="54">
        <f t="shared" si="16"/>
        <v>0.97113637165129973</v>
      </c>
      <c r="AI40" s="55">
        <f t="shared" si="17"/>
        <v>1.395622192940124</v>
      </c>
      <c r="AJ40" s="44">
        <f t="shared" si="18"/>
        <v>1.2213422782106793</v>
      </c>
      <c r="AK40" s="47">
        <f t="shared" si="19"/>
        <v>0.93903673532254184</v>
      </c>
      <c r="AL40" s="47">
        <f t="shared" si="20"/>
        <v>13.461616415173836</v>
      </c>
      <c r="AM40" s="47">
        <f t="shared" si="21"/>
        <v>3.4587567824855232</v>
      </c>
      <c r="AN40" s="47">
        <f t="shared" si="22"/>
        <v>9.4131156796152933</v>
      </c>
      <c r="AO40" s="54">
        <f t="shared" si="23"/>
        <v>1.2987</v>
      </c>
      <c r="AP40" s="47">
        <f t="shared" si="24"/>
        <v>27.632188877274654</v>
      </c>
    </row>
    <row r="41" spans="2:42" x14ac:dyDescent="0.35">
      <c r="B41" s="4">
        <v>2040</v>
      </c>
      <c r="C41" s="66">
        <f t="shared" si="25"/>
        <v>2.3E-2</v>
      </c>
      <c r="D41" s="37">
        <f t="shared" si="26"/>
        <v>119.23458348906112</v>
      </c>
      <c r="E41" s="57">
        <f t="shared" si="0"/>
        <v>2.5999999999999999E-2</v>
      </c>
      <c r="F41" s="69">
        <f t="shared" si="27"/>
        <v>249</v>
      </c>
      <c r="G41" s="40">
        <f t="shared" si="1"/>
        <v>478.85374895205268</v>
      </c>
      <c r="H41" s="70">
        <f t="shared" si="28"/>
        <v>1.6E-2</v>
      </c>
      <c r="I41" s="42">
        <f t="shared" si="29"/>
        <v>3444.2057675579863</v>
      </c>
      <c r="J41" s="59">
        <f t="shared" si="2"/>
        <v>1E-3</v>
      </c>
      <c r="K41" s="60">
        <f t="shared" si="3"/>
        <v>6.0000000000000001E-3</v>
      </c>
      <c r="L41" s="60">
        <f t="shared" si="4"/>
        <v>3.0000000000000001E-3</v>
      </c>
      <c r="M41" s="71">
        <f>IF(SUM($K$32:K41)&lt;4%,M40*(I41/I40-J41-K41-L41),M40*(I41/I40-J41-L41))</f>
        <v>26976.155240161279</v>
      </c>
      <c r="N41" s="62">
        <f t="shared" si="5"/>
        <v>-3.0000000000000001E-3</v>
      </c>
      <c r="O41" s="47">
        <f t="shared" si="30"/>
        <v>2.3588157755480474</v>
      </c>
      <c r="P41" s="47">
        <f t="shared" si="6"/>
        <v>30.470316666048809</v>
      </c>
      <c r="Q41" s="64">
        <f t="shared" si="7"/>
        <v>0.5</v>
      </c>
      <c r="R41" s="47">
        <f t="shared" si="8"/>
        <v>15.235158333024405</v>
      </c>
      <c r="S41" s="59">
        <f t="shared" si="35"/>
        <v>0</v>
      </c>
      <c r="T41" s="72">
        <f t="shared" si="31"/>
        <v>0.5544</v>
      </c>
      <c r="U41" s="66">
        <f t="shared" si="34"/>
        <v>0.05</v>
      </c>
      <c r="V41" s="73">
        <f>IF(SUM($U$19:U41)&lt;55%,V40*(1-U41),V40)</f>
        <v>1.508817086880714</v>
      </c>
      <c r="W41" s="47">
        <f t="shared" si="9"/>
        <v>57.122197936196571</v>
      </c>
      <c r="X41" s="47">
        <f t="shared" si="10"/>
        <v>28.561098968098285</v>
      </c>
      <c r="Y41" s="51">
        <f t="shared" si="33"/>
        <v>15000</v>
      </c>
      <c r="Z41" s="74">
        <f>SUM($Y$20:Y41)*1.3*3.7/1000000</f>
        <v>1.3708499999999999</v>
      </c>
      <c r="AA41" s="68">
        <f t="shared" si="11"/>
        <v>55.751347936196574</v>
      </c>
      <c r="AB41" s="68">
        <f t="shared" si="12"/>
        <v>27.190248968098285</v>
      </c>
      <c r="AC41" s="47">
        <f t="shared" si="13"/>
        <v>13.864308333024404</v>
      </c>
      <c r="AE41" s="4">
        <v>2040</v>
      </c>
      <c r="AF41" s="53">
        <f t="shared" si="14"/>
        <v>1.649164363610804</v>
      </c>
      <c r="AG41" s="54">
        <f t="shared" si="15"/>
        <v>1.66</v>
      </c>
      <c r="AH41" s="54">
        <f t="shared" si="16"/>
        <v>0.99347250819927946</v>
      </c>
      <c r="AI41" s="55">
        <f t="shared" si="17"/>
        <v>1.417952148027166</v>
      </c>
      <c r="AJ41" s="44">
        <f t="shared" si="18"/>
        <v>1.2359983855492076</v>
      </c>
      <c r="AK41" s="47">
        <f t="shared" si="19"/>
        <v>0.97060429238323398</v>
      </c>
      <c r="AL41" s="47">
        <f t="shared" si="20"/>
        <v>13.864308333024404</v>
      </c>
      <c r="AM41" s="47">
        <f t="shared" si="21"/>
        <v>3.5807678867444825</v>
      </c>
      <c r="AN41" s="47">
        <f t="shared" si="22"/>
        <v>9.7451727483294022</v>
      </c>
      <c r="AO41" s="54">
        <f t="shared" si="23"/>
        <v>1.3708499999999999</v>
      </c>
      <c r="AP41" s="47">
        <f t="shared" si="24"/>
        <v>28.561098968098285</v>
      </c>
    </row>
    <row r="42" spans="2:42" x14ac:dyDescent="0.35">
      <c r="B42" s="4">
        <v>2041</v>
      </c>
      <c r="C42" s="66">
        <f t="shared" si="25"/>
        <v>2.3E-2</v>
      </c>
      <c r="D42" s="37">
        <f t="shared" si="26"/>
        <v>121.97697890930952</v>
      </c>
      <c r="E42" s="57">
        <f t="shared" si="0"/>
        <v>2.5999999999999999E-2</v>
      </c>
      <c r="F42" s="69">
        <f t="shared" si="27"/>
        <v>249</v>
      </c>
      <c r="G42" s="40">
        <f t="shared" si="1"/>
        <v>489.86738517794987</v>
      </c>
      <c r="H42" s="70">
        <f t="shared" si="28"/>
        <v>1.6E-2</v>
      </c>
      <c r="I42" s="42">
        <f t="shared" si="29"/>
        <v>3499.3130598389143</v>
      </c>
      <c r="J42" s="59">
        <f t="shared" si="2"/>
        <v>1E-3</v>
      </c>
      <c r="K42" s="60">
        <f t="shared" si="3"/>
        <v>6.0000000000000001E-3</v>
      </c>
      <c r="L42" s="60">
        <f t="shared" si="4"/>
        <v>3.0000000000000001E-3</v>
      </c>
      <c r="M42" s="71">
        <f>IF(SUM($K$32:K42)&lt;4%,M41*(I42/I41-J42-K42-L42),M41*(I42/I41-J42-L42))</f>
        <v>27299.86910304322</v>
      </c>
      <c r="N42" s="62">
        <f t="shared" si="5"/>
        <v>-3.0000000000000001E-3</v>
      </c>
      <c r="O42" s="47">
        <f t="shared" si="30"/>
        <v>2.3517393282214032</v>
      </c>
      <c r="P42" s="47">
        <f t="shared" si="6"/>
        <v>31.45055199409007</v>
      </c>
      <c r="Q42" s="64">
        <f t="shared" si="7"/>
        <v>0.5</v>
      </c>
      <c r="R42" s="47">
        <f t="shared" si="8"/>
        <v>15.725275997045035</v>
      </c>
      <c r="S42" s="59">
        <f t="shared" si="35"/>
        <v>0</v>
      </c>
      <c r="T42" s="72">
        <f t="shared" si="31"/>
        <v>0.5544</v>
      </c>
      <c r="U42" s="66">
        <f t="shared" si="34"/>
        <v>0.05</v>
      </c>
      <c r="V42" s="73">
        <f>IF(SUM($U$19:U42)&lt;55%,V41*(1-U42),V41)</f>
        <v>1.508817086880714</v>
      </c>
      <c r="W42" s="47">
        <f t="shared" si="9"/>
        <v>59.042605027923578</v>
      </c>
      <c r="X42" s="47">
        <f t="shared" si="10"/>
        <v>29.521302513961789</v>
      </c>
      <c r="Y42" s="51">
        <f t="shared" si="33"/>
        <v>15000</v>
      </c>
      <c r="Z42" s="74">
        <f>SUM($Y$20:Y42)*1.3*3.7/1000000</f>
        <v>1.4430000000000001</v>
      </c>
      <c r="AA42" s="68">
        <f t="shared" si="11"/>
        <v>57.59960502792358</v>
      </c>
      <c r="AB42" s="68">
        <f t="shared" si="12"/>
        <v>28.078302513961788</v>
      </c>
      <c r="AC42" s="47">
        <f t="shared" si="13"/>
        <v>14.282275997045035</v>
      </c>
      <c r="AE42" s="4">
        <v>2041</v>
      </c>
      <c r="AF42" s="53">
        <f t="shared" si="14"/>
        <v>1.6870951439738524</v>
      </c>
      <c r="AG42" s="54">
        <f t="shared" si="15"/>
        <v>1.66</v>
      </c>
      <c r="AH42" s="54">
        <f t="shared" si="16"/>
        <v>1.0163223758878628</v>
      </c>
      <c r="AI42" s="55">
        <f t="shared" si="17"/>
        <v>1.4406393823956007</v>
      </c>
      <c r="AJ42" s="44">
        <f t="shared" si="18"/>
        <v>1.2508303661757985</v>
      </c>
      <c r="AK42" s="47">
        <f t="shared" si="19"/>
        <v>1.0032353085852961</v>
      </c>
      <c r="AL42" s="47">
        <f t="shared" si="20"/>
        <v>14.282275997045035</v>
      </c>
      <c r="AM42" s="47">
        <f t="shared" si="21"/>
        <v>3.7070830547172813</v>
      </c>
      <c r="AN42" s="47">
        <f t="shared" si="22"/>
        <v>10.088943462199472</v>
      </c>
      <c r="AO42" s="54">
        <f t="shared" si="23"/>
        <v>1.4430000000000001</v>
      </c>
      <c r="AP42" s="47">
        <f t="shared" si="24"/>
        <v>29.521302513961789</v>
      </c>
    </row>
    <row r="43" spans="2:42" x14ac:dyDescent="0.35">
      <c r="B43" s="4">
        <v>2042</v>
      </c>
      <c r="C43" s="66">
        <f t="shared" si="25"/>
        <v>2.3E-2</v>
      </c>
      <c r="D43" s="37">
        <f t="shared" si="26"/>
        <v>124.78244942422363</v>
      </c>
      <c r="E43" s="57">
        <f t="shared" si="0"/>
        <v>2.5999999999999999E-2</v>
      </c>
      <c r="F43" s="69">
        <f t="shared" si="27"/>
        <v>249</v>
      </c>
      <c r="G43" s="40">
        <f t="shared" si="1"/>
        <v>501.13433503704266</v>
      </c>
      <c r="H43" s="70">
        <f t="shared" si="28"/>
        <v>1.6E-2</v>
      </c>
      <c r="I43" s="42">
        <f t="shared" si="29"/>
        <v>3555.3020687963372</v>
      </c>
      <c r="J43" s="59">
        <f t="shared" si="2"/>
        <v>1E-3</v>
      </c>
      <c r="K43" s="60">
        <f t="shared" si="3"/>
        <v>6.0000000000000001E-3</v>
      </c>
      <c r="L43" s="60">
        <f t="shared" si="4"/>
        <v>3.0000000000000001E-3</v>
      </c>
      <c r="M43" s="71">
        <f>IF(SUM($K$32:K43)&lt;4%,M42*(I43/I42-J43-K43-L43),M42*(I43/I42-J43-L43))</f>
        <v>27627.467532279745</v>
      </c>
      <c r="N43" s="62">
        <f t="shared" si="5"/>
        <v>-3.0000000000000001E-3</v>
      </c>
      <c r="O43" s="47">
        <f t="shared" si="30"/>
        <v>2.3446841102367388</v>
      </c>
      <c r="P43" s="47">
        <f t="shared" si="6"/>
        <v>32.462321661234895</v>
      </c>
      <c r="Q43" s="64">
        <f t="shared" si="7"/>
        <v>0.5</v>
      </c>
      <c r="R43" s="47">
        <f t="shared" si="8"/>
        <v>16.231160830617448</v>
      </c>
      <c r="S43" s="59">
        <f t="shared" si="35"/>
        <v>0</v>
      </c>
      <c r="T43" s="72">
        <f t="shared" si="31"/>
        <v>0.5544</v>
      </c>
      <c r="U43" s="66">
        <f t="shared" si="34"/>
        <v>0.05</v>
      </c>
      <c r="V43" s="73">
        <f>IF(SUM($U$19:U43)&lt;55%,V42*(1-U43),V42)</f>
        <v>1.508817086880714</v>
      </c>
      <c r="W43" s="47">
        <f t="shared" si="9"/>
        <v>61.027711957889913</v>
      </c>
      <c r="X43" s="47">
        <f t="shared" si="10"/>
        <v>30.513855978944957</v>
      </c>
      <c r="Y43" s="51">
        <f t="shared" si="33"/>
        <v>15000</v>
      </c>
      <c r="Z43" s="74">
        <f>SUM($Y$20:Y43)*1.3*3.7/1000000</f>
        <v>1.51515</v>
      </c>
      <c r="AA43" s="68">
        <f t="shared" si="11"/>
        <v>59.512561957889915</v>
      </c>
      <c r="AB43" s="68">
        <f t="shared" si="12"/>
        <v>28.998705978944958</v>
      </c>
      <c r="AC43" s="47">
        <f t="shared" si="13"/>
        <v>14.716010830617448</v>
      </c>
      <c r="AE43" s="4">
        <v>2042</v>
      </c>
      <c r="AF43" s="53">
        <f t="shared" si="14"/>
        <v>1.7258983322852508</v>
      </c>
      <c r="AG43" s="54">
        <f t="shared" si="15"/>
        <v>1.66</v>
      </c>
      <c r="AH43" s="54">
        <f t="shared" si="16"/>
        <v>1.0396977905332836</v>
      </c>
      <c r="AI43" s="55">
        <f t="shared" si="17"/>
        <v>1.4636896125139305</v>
      </c>
      <c r="AJ43" s="44">
        <f t="shared" si="18"/>
        <v>1.2658403305699082</v>
      </c>
      <c r="AK43" s="47">
        <f t="shared" si="19"/>
        <v>1.0369656862086702</v>
      </c>
      <c r="AL43" s="47">
        <f t="shared" si="20"/>
        <v>14.716010830617448</v>
      </c>
      <c r="AM43" s="47">
        <f t="shared" si="21"/>
        <v>3.8378541165554885</v>
      </c>
      <c r="AN43" s="47">
        <f t="shared" si="22"/>
        <v>10.444841031772022</v>
      </c>
      <c r="AO43" s="54">
        <f t="shared" si="23"/>
        <v>1.51515</v>
      </c>
      <c r="AP43" s="47">
        <f t="shared" si="24"/>
        <v>30.513855978944957</v>
      </c>
    </row>
    <row r="44" spans="2:42" x14ac:dyDescent="0.35">
      <c r="B44" s="4">
        <v>2043</v>
      </c>
      <c r="C44" s="66">
        <f t="shared" si="25"/>
        <v>2.3E-2</v>
      </c>
      <c r="D44" s="37">
        <f t="shared" si="26"/>
        <v>127.65244576098075</v>
      </c>
      <c r="E44" s="57">
        <f t="shared" si="0"/>
        <v>2.5999999999999999E-2</v>
      </c>
      <c r="F44" s="69">
        <f t="shared" si="27"/>
        <v>249</v>
      </c>
      <c r="G44" s="40">
        <f t="shared" si="1"/>
        <v>512.66042474289463</v>
      </c>
      <c r="H44" s="70">
        <f t="shared" si="28"/>
        <v>1.6E-2</v>
      </c>
      <c r="I44" s="42">
        <f t="shared" si="29"/>
        <v>3612.1869018970788</v>
      </c>
      <c r="J44" s="59">
        <f t="shared" si="2"/>
        <v>1E-3</v>
      </c>
      <c r="K44" s="60">
        <f t="shared" si="3"/>
        <v>6.0000000000000001E-3</v>
      </c>
      <c r="L44" s="60">
        <f t="shared" si="4"/>
        <v>3.0000000000000001E-3</v>
      </c>
      <c r="M44" s="71">
        <f>IF(SUM($K$32:K44)&lt;4%,M43*(I44/I43-J44-K44-L44),M43*(I44/I43-J44-L44))</f>
        <v>27958.997142667107</v>
      </c>
      <c r="N44" s="62">
        <f t="shared" si="5"/>
        <v>-3.0000000000000001E-3</v>
      </c>
      <c r="O44" s="47">
        <f t="shared" si="30"/>
        <v>2.3376500579060284</v>
      </c>
      <c r="P44" s="47">
        <f t="shared" si="6"/>
        <v>33.506640132596146</v>
      </c>
      <c r="Q44" s="64">
        <f t="shared" si="7"/>
        <v>0.5</v>
      </c>
      <c r="R44" s="47">
        <f t="shared" si="8"/>
        <v>16.753320066298073</v>
      </c>
      <c r="S44" s="59">
        <f t="shared" si="35"/>
        <v>0</v>
      </c>
      <c r="T44" s="72">
        <f t="shared" si="31"/>
        <v>0.5544</v>
      </c>
      <c r="U44" s="66">
        <f t="shared" si="34"/>
        <v>0.05</v>
      </c>
      <c r="V44" s="73">
        <f>IF(SUM($U$19:U44)&lt;55%,V43*(1-U44),V43)</f>
        <v>1.508817086880714</v>
      </c>
      <c r="W44" s="47">
        <f t="shared" si="9"/>
        <v>63.079703137355978</v>
      </c>
      <c r="X44" s="47">
        <f t="shared" si="10"/>
        <v>31.539851568677989</v>
      </c>
      <c r="Y44" s="51">
        <f t="shared" si="33"/>
        <v>15000</v>
      </c>
      <c r="Z44" s="74">
        <f>SUM($Y$20:Y44)*1.3*3.7/1000000</f>
        <v>1.5872999999999999</v>
      </c>
      <c r="AA44" s="68">
        <f t="shared" si="11"/>
        <v>61.492403137355979</v>
      </c>
      <c r="AB44" s="68">
        <f t="shared" si="12"/>
        <v>29.95255156867799</v>
      </c>
      <c r="AC44" s="47">
        <f t="shared" si="13"/>
        <v>15.166020066298074</v>
      </c>
      <c r="AE44" s="4">
        <v>2043</v>
      </c>
      <c r="AF44" s="53">
        <f t="shared" si="14"/>
        <v>1.7655939939278114</v>
      </c>
      <c r="AG44" s="54">
        <f t="shared" si="15"/>
        <v>1.66</v>
      </c>
      <c r="AH44" s="54">
        <f t="shared" si="16"/>
        <v>1.063610839715549</v>
      </c>
      <c r="AI44" s="55">
        <f t="shared" si="17"/>
        <v>1.4871086463141534</v>
      </c>
      <c r="AJ44" s="44">
        <f t="shared" si="18"/>
        <v>1.2810304145367473</v>
      </c>
      <c r="AK44" s="47">
        <f t="shared" si="19"/>
        <v>1.0718325421540056</v>
      </c>
      <c r="AL44" s="47">
        <f t="shared" si="20"/>
        <v>15.166020066298074</v>
      </c>
      <c r="AM44" s="47">
        <f t="shared" si="21"/>
        <v>3.9732382583711008</v>
      </c>
      <c r="AN44" s="47">
        <f t="shared" si="22"/>
        <v>10.813293244008813</v>
      </c>
      <c r="AO44" s="54">
        <f t="shared" si="23"/>
        <v>1.5872999999999999</v>
      </c>
      <c r="AP44" s="47">
        <f t="shared" si="24"/>
        <v>31.539851568677989</v>
      </c>
    </row>
    <row r="45" spans="2:42" x14ac:dyDescent="0.35">
      <c r="B45" s="4">
        <v>2044</v>
      </c>
      <c r="C45" s="66">
        <f t="shared" si="25"/>
        <v>2.3E-2</v>
      </c>
      <c r="D45" s="37">
        <f t="shared" si="26"/>
        <v>130.58845201348331</v>
      </c>
      <c r="E45" s="57">
        <f t="shared" si="0"/>
        <v>2.5999999999999999E-2</v>
      </c>
      <c r="F45" s="69">
        <f t="shared" si="27"/>
        <v>249</v>
      </c>
      <c r="G45" s="40">
        <f t="shared" si="1"/>
        <v>524.45161451198123</v>
      </c>
      <c r="H45" s="70">
        <f t="shared" si="28"/>
        <v>1.6E-2</v>
      </c>
      <c r="I45" s="42">
        <f t="shared" si="29"/>
        <v>3669.981892327432</v>
      </c>
      <c r="J45" s="59">
        <f t="shared" si="2"/>
        <v>1E-3</v>
      </c>
      <c r="K45" s="60">
        <f t="shared" si="3"/>
        <v>6.0000000000000001E-3</v>
      </c>
      <c r="L45" s="60">
        <f t="shared" si="4"/>
        <v>3.0000000000000001E-3</v>
      </c>
      <c r="M45" s="71">
        <f>IF(SUM($K$32:K45)&lt;4%,M44*(I45/I44-J45-K45-L45),M44*(I45/I44-J45-L45))</f>
        <v>28294.505108379119</v>
      </c>
      <c r="N45" s="62">
        <f t="shared" si="5"/>
        <v>-3.0000000000000001E-3</v>
      </c>
      <c r="O45" s="47">
        <f t="shared" si="30"/>
        <v>2.3306371077323105</v>
      </c>
      <c r="P45" s="47">
        <f t="shared" si="6"/>
        <v>34.584554508803876</v>
      </c>
      <c r="Q45" s="64">
        <f t="shared" si="7"/>
        <v>0.5</v>
      </c>
      <c r="R45" s="47">
        <f t="shared" si="8"/>
        <v>17.292277254401938</v>
      </c>
      <c r="S45" s="59">
        <f t="shared" si="35"/>
        <v>0</v>
      </c>
      <c r="T45" s="72">
        <f t="shared" si="31"/>
        <v>0.5544</v>
      </c>
      <c r="U45" s="66">
        <f t="shared" si="34"/>
        <v>0.05</v>
      </c>
      <c r="V45" s="73">
        <f>IF(SUM($U$19:U45)&lt;55%,V44*(1-U45),V44)</f>
        <v>1.508817086880714</v>
      </c>
      <c r="W45" s="47">
        <f t="shared" si="9"/>
        <v>65.200836884119624</v>
      </c>
      <c r="X45" s="47">
        <f t="shared" si="10"/>
        <v>32.600418442059812</v>
      </c>
      <c r="Y45" s="51">
        <f t="shared" si="33"/>
        <v>15000</v>
      </c>
      <c r="Z45" s="74">
        <f>SUM($Y$20:Y45)*1.3*3.7/1000000</f>
        <v>1.6594500000000001</v>
      </c>
      <c r="AA45" s="68">
        <f t="shared" si="11"/>
        <v>63.541386884119625</v>
      </c>
      <c r="AB45" s="68">
        <f t="shared" si="12"/>
        <v>30.940968442059813</v>
      </c>
      <c r="AC45" s="47">
        <f t="shared" si="13"/>
        <v>15.632827254401938</v>
      </c>
      <c r="AE45" s="4">
        <v>2044</v>
      </c>
      <c r="AF45" s="53">
        <f t="shared" si="14"/>
        <v>1.806202655788151</v>
      </c>
      <c r="AG45" s="54">
        <f t="shared" si="15"/>
        <v>1.66</v>
      </c>
      <c r="AH45" s="54">
        <f t="shared" si="16"/>
        <v>1.0880738890290067</v>
      </c>
      <c r="AI45" s="55">
        <f t="shared" si="17"/>
        <v>1.5109023846551799</v>
      </c>
      <c r="AJ45" s="44">
        <f t="shared" si="18"/>
        <v>1.2964027795111885</v>
      </c>
      <c r="AK45" s="47">
        <f t="shared" si="19"/>
        <v>1.1078742491210118</v>
      </c>
      <c r="AL45" s="47">
        <f t="shared" si="20"/>
        <v>15.632827254401938</v>
      </c>
      <c r="AM45" s="47">
        <f t="shared" si="21"/>
        <v>4.1133982111734007</v>
      </c>
      <c r="AN45" s="47">
        <f t="shared" si="22"/>
        <v>11.19474297648447</v>
      </c>
      <c r="AO45" s="54">
        <f t="shared" si="23"/>
        <v>1.6594500000000001</v>
      </c>
      <c r="AP45" s="47">
        <f t="shared" si="24"/>
        <v>32.600418442059812</v>
      </c>
    </row>
    <row r="46" spans="2:42" x14ac:dyDescent="0.35">
      <c r="B46" s="4">
        <v>2045</v>
      </c>
      <c r="C46" s="66">
        <f t="shared" si="25"/>
        <v>2.3E-2</v>
      </c>
      <c r="D46" s="37">
        <f t="shared" si="26"/>
        <v>133.59198640979341</v>
      </c>
      <c r="E46" s="57">
        <f t="shared" si="0"/>
        <v>2.5999999999999999E-2</v>
      </c>
      <c r="F46" s="69">
        <f t="shared" si="27"/>
        <v>249</v>
      </c>
      <c r="G46" s="40">
        <f t="shared" si="1"/>
        <v>536.51400164575671</v>
      </c>
      <c r="H46" s="70">
        <f t="shared" si="28"/>
        <v>1.6E-2</v>
      </c>
      <c r="I46" s="42">
        <f t="shared" si="29"/>
        <v>3728.7016026046708</v>
      </c>
      <c r="J46" s="59">
        <f t="shared" si="2"/>
        <v>1E-3</v>
      </c>
      <c r="K46" s="60">
        <f t="shared" si="3"/>
        <v>6.0000000000000001E-3</v>
      </c>
      <c r="L46" s="60">
        <f t="shared" si="4"/>
        <v>3.0000000000000001E-3</v>
      </c>
      <c r="M46" s="71">
        <f>IF(SUM($K$32:K46)&lt;4%,M45*(I46/I45-J46-K46-L46),M45*(I46/I45-J46-L46))</f>
        <v>28634.039169679676</v>
      </c>
      <c r="N46" s="62">
        <f t="shared" si="5"/>
        <v>-3.0000000000000001E-3</v>
      </c>
      <c r="O46" s="47">
        <f t="shared" si="30"/>
        <v>2.3236451964091134</v>
      </c>
      <c r="P46" s="47">
        <f t="shared" si="6"/>
        <v>35.697145575895476</v>
      </c>
      <c r="Q46" s="64">
        <f t="shared" si="7"/>
        <v>0.5</v>
      </c>
      <c r="R46" s="47">
        <f t="shared" si="8"/>
        <v>17.848572787947738</v>
      </c>
      <c r="S46" s="59">
        <f t="shared" si="35"/>
        <v>0</v>
      </c>
      <c r="T46" s="72">
        <f t="shared" si="31"/>
        <v>0.5544</v>
      </c>
      <c r="U46" s="66">
        <f t="shared" si="34"/>
        <v>0.05</v>
      </c>
      <c r="V46" s="73">
        <f>IF(SUM($U$19:U46)&lt;55%,V45*(1-U46),V45)</f>
        <v>1.508817086880714</v>
      </c>
      <c r="W46" s="47">
        <f t="shared" si="9"/>
        <v>67.393447928282839</v>
      </c>
      <c r="X46" s="47">
        <f t="shared" si="10"/>
        <v>33.69672396414142</v>
      </c>
      <c r="Y46" s="51">
        <f t="shared" si="33"/>
        <v>15000</v>
      </c>
      <c r="Z46" s="74">
        <f>SUM($Y$20:Y46)*1.3*3.7/1000000</f>
        <v>1.7316</v>
      </c>
      <c r="AA46" s="68">
        <f t="shared" si="11"/>
        <v>65.661847928282839</v>
      </c>
      <c r="AB46" s="68">
        <f t="shared" si="12"/>
        <v>31.965123964141419</v>
      </c>
      <c r="AC46" s="47">
        <f t="shared" si="13"/>
        <v>16.116972787947738</v>
      </c>
      <c r="AE46" s="4">
        <v>2045</v>
      </c>
      <c r="AF46" s="53">
        <f t="shared" si="14"/>
        <v>1.8477453168712781</v>
      </c>
      <c r="AG46" s="54">
        <f t="shared" si="15"/>
        <v>1.66</v>
      </c>
      <c r="AH46" s="54">
        <f t="shared" si="16"/>
        <v>1.1130995884766737</v>
      </c>
      <c r="AI46" s="55">
        <f t="shared" si="17"/>
        <v>1.5350768228096627</v>
      </c>
      <c r="AJ46" s="44">
        <f t="shared" si="18"/>
        <v>1.3119596128653233</v>
      </c>
      <c r="AK46" s="47">
        <f t="shared" si="19"/>
        <v>1.1451304781857403</v>
      </c>
      <c r="AL46" s="47">
        <f t="shared" si="20"/>
        <v>16.116972787947738</v>
      </c>
      <c r="AM46" s="47">
        <f t="shared" si="21"/>
        <v>4.2585024464707546</v>
      </c>
      <c r="AN46" s="47">
        <f t="shared" si="22"/>
        <v>11.589648729722937</v>
      </c>
      <c r="AO46" s="54">
        <f t="shared" si="23"/>
        <v>1.7316</v>
      </c>
      <c r="AP46" s="47">
        <f t="shared" si="24"/>
        <v>33.69672396414142</v>
      </c>
    </row>
    <row r="47" spans="2:42" x14ac:dyDescent="0.35">
      <c r="B47" s="4">
        <v>2046</v>
      </c>
      <c r="C47" s="66">
        <f t="shared" si="25"/>
        <v>2.3E-2</v>
      </c>
      <c r="D47" s="37">
        <f t="shared" si="26"/>
        <v>136.66460209721865</v>
      </c>
      <c r="E47" s="57">
        <f t="shared" si="0"/>
        <v>2.5999999999999999E-2</v>
      </c>
      <c r="F47" s="69">
        <f t="shared" si="27"/>
        <v>249</v>
      </c>
      <c r="G47" s="40">
        <f t="shared" si="1"/>
        <v>548.85382368360899</v>
      </c>
      <c r="H47" s="70">
        <f t="shared" si="28"/>
        <v>1.6E-2</v>
      </c>
      <c r="I47" s="42">
        <f t="shared" si="29"/>
        <v>3788.3608282463456</v>
      </c>
      <c r="J47" s="59">
        <f t="shared" si="2"/>
        <v>1E-3</v>
      </c>
      <c r="K47" s="60">
        <f t="shared" si="3"/>
        <v>6.0000000000000001E-3</v>
      </c>
      <c r="L47" s="60">
        <f t="shared" si="4"/>
        <v>3.0000000000000001E-3</v>
      </c>
      <c r="M47" s="71">
        <f>IF(SUM($K$32:K47)&lt;4%,M46*(I47/I46-J47-K47-L47),M46*(I47/I46-J47-L47))</f>
        <v>28977.64763971584</v>
      </c>
      <c r="N47" s="62">
        <f t="shared" si="5"/>
        <v>-3.0000000000000001E-3</v>
      </c>
      <c r="O47" s="47">
        <f t="shared" si="30"/>
        <v>2.316674260819886</v>
      </c>
      <c r="P47" s="47">
        <f t="shared" si="6"/>
        <v>36.845528888981072</v>
      </c>
      <c r="Q47" s="64">
        <f t="shared" si="7"/>
        <v>0.5</v>
      </c>
      <c r="R47" s="47">
        <f t="shared" si="8"/>
        <v>18.422764444490536</v>
      </c>
      <c r="S47" s="59">
        <f t="shared" si="35"/>
        <v>0</v>
      </c>
      <c r="T47" s="72">
        <f t="shared" si="31"/>
        <v>0.5544</v>
      </c>
      <c r="U47" s="66">
        <f t="shared" si="34"/>
        <v>0.05</v>
      </c>
      <c r="V47" s="73">
        <f>IF(SUM($U$19:U47)&lt;55%,V46*(1-U47),V46)</f>
        <v>1.508817086880714</v>
      </c>
      <c r="W47" s="47">
        <f t="shared" si="9"/>
        <v>69.659950003151266</v>
      </c>
      <c r="X47" s="47">
        <f t="shared" si="10"/>
        <v>34.829975001575633</v>
      </c>
      <c r="Y47" s="51">
        <f t="shared" si="33"/>
        <v>15000</v>
      </c>
      <c r="Z47" s="74">
        <f>SUM($Y$20:Y47)*1.3*3.7/1000000</f>
        <v>1.80375</v>
      </c>
      <c r="AA47" s="68">
        <f t="shared" si="11"/>
        <v>67.856200003151272</v>
      </c>
      <c r="AB47" s="68">
        <f t="shared" si="12"/>
        <v>33.026225001575632</v>
      </c>
      <c r="AC47" s="47">
        <f t="shared" si="13"/>
        <v>16.619014444490535</v>
      </c>
      <c r="AE47" s="4">
        <v>2046</v>
      </c>
      <c r="AF47" s="53">
        <f t="shared" si="14"/>
        <v>1.8902434591593176</v>
      </c>
      <c r="AG47" s="54">
        <f t="shared" si="15"/>
        <v>1.66</v>
      </c>
      <c r="AH47" s="54">
        <f t="shared" si="16"/>
        <v>1.1387008790116369</v>
      </c>
      <c r="AI47" s="55">
        <f t="shared" si="17"/>
        <v>1.5596380519746174</v>
      </c>
      <c r="AJ47" s="44">
        <f t="shared" si="18"/>
        <v>1.3277031282197076</v>
      </c>
      <c r="AK47" s="47">
        <f t="shared" si="19"/>
        <v>1.1836422428244187</v>
      </c>
      <c r="AL47" s="47">
        <f t="shared" si="20"/>
        <v>16.619014444490535</v>
      </c>
      <c r="AM47" s="47">
        <f t="shared" si="21"/>
        <v>4.4087253787724574</v>
      </c>
      <c r="AN47" s="47">
        <f t="shared" si="22"/>
        <v>11.998485178312647</v>
      </c>
      <c r="AO47" s="54">
        <f t="shared" si="23"/>
        <v>1.80375</v>
      </c>
      <c r="AP47" s="47">
        <f t="shared" si="24"/>
        <v>34.829975001575633</v>
      </c>
    </row>
    <row r="48" spans="2:42" x14ac:dyDescent="0.35">
      <c r="B48" s="4">
        <v>2047</v>
      </c>
      <c r="C48" s="66">
        <f t="shared" si="25"/>
        <v>2.3E-2</v>
      </c>
      <c r="D48" s="37">
        <f t="shared" si="26"/>
        <v>139.80788794545467</v>
      </c>
      <c r="E48" s="57">
        <f t="shared" si="0"/>
        <v>2.5999999999999999E-2</v>
      </c>
      <c r="F48" s="69">
        <f t="shared" si="27"/>
        <v>249</v>
      </c>
      <c r="G48" s="40">
        <f t="shared" si="1"/>
        <v>561.47746162833198</v>
      </c>
      <c r="H48" s="70">
        <f t="shared" si="28"/>
        <v>1.6E-2</v>
      </c>
      <c r="I48" s="42">
        <f t="shared" si="29"/>
        <v>3848.974601498287</v>
      </c>
      <c r="J48" s="59">
        <f t="shared" si="2"/>
        <v>1E-3</v>
      </c>
      <c r="K48" s="60">
        <f t="shared" si="3"/>
        <v>6.0000000000000001E-3</v>
      </c>
      <c r="L48" s="60">
        <f t="shared" si="4"/>
        <v>3.0000000000000001E-3</v>
      </c>
      <c r="M48" s="71">
        <f>IF(SUM($K$32:K48)&lt;4%,M47*(I48/I47-J48-K48-L48),M47*(I48/I47-J48-L48))</f>
        <v>29325.379411392438</v>
      </c>
      <c r="N48" s="62">
        <f t="shared" si="5"/>
        <v>-3.0000000000000001E-3</v>
      </c>
      <c r="O48" s="47">
        <f t="shared" si="30"/>
        <v>2.3097242380374263</v>
      </c>
      <c r="P48" s="47">
        <f t="shared" si="6"/>
        <v>38.030855890770567</v>
      </c>
      <c r="Q48" s="64">
        <f t="shared" si="7"/>
        <v>0.5</v>
      </c>
      <c r="R48" s="47">
        <f t="shared" si="8"/>
        <v>19.015427945385284</v>
      </c>
      <c r="S48" s="59">
        <f t="shared" si="35"/>
        <v>0</v>
      </c>
      <c r="T48" s="72">
        <f t="shared" si="31"/>
        <v>0.5544</v>
      </c>
      <c r="U48" s="66">
        <f t="shared" si="34"/>
        <v>0.05</v>
      </c>
      <c r="V48" s="73">
        <f>IF(SUM($U$19:U48)&lt;55%,V47*(1-U48),V47)</f>
        <v>1.508817086880714</v>
      </c>
      <c r="W48" s="47">
        <f t="shared" si="9"/>
        <v>72.002838524164247</v>
      </c>
      <c r="X48" s="47">
        <f t="shared" si="10"/>
        <v>36.001419262082123</v>
      </c>
      <c r="Y48" s="51">
        <f t="shared" si="33"/>
        <v>15000</v>
      </c>
      <c r="Z48" s="74">
        <f>SUM($Y$20:Y48)*1.3*3.7/1000000</f>
        <v>1.8758999999999999</v>
      </c>
      <c r="AA48" s="68">
        <f t="shared" si="11"/>
        <v>70.126938524164245</v>
      </c>
      <c r="AB48" s="68">
        <f t="shared" si="12"/>
        <v>34.125519262082122</v>
      </c>
      <c r="AC48" s="47">
        <f t="shared" si="13"/>
        <v>17.139527945385282</v>
      </c>
      <c r="AE48" s="4">
        <v>2047</v>
      </c>
      <c r="AF48" s="53">
        <f t="shared" si="14"/>
        <v>1.9337190587199817</v>
      </c>
      <c r="AG48" s="54">
        <f t="shared" si="15"/>
        <v>1.66</v>
      </c>
      <c r="AH48" s="54">
        <f t="shared" si="16"/>
        <v>1.1648909992289045</v>
      </c>
      <c r="AI48" s="55">
        <f t="shared" si="17"/>
        <v>1.5845922608062113</v>
      </c>
      <c r="AJ48" s="44">
        <f t="shared" si="18"/>
        <v>1.3436355657583443</v>
      </c>
      <c r="AK48" s="47">
        <f t="shared" si="19"/>
        <v>1.2234519444330754</v>
      </c>
      <c r="AL48" s="47">
        <f t="shared" si="20"/>
        <v>17.139527945385282</v>
      </c>
      <c r="AM48" s="47">
        <f t="shared" si="21"/>
        <v>4.5642475752340355</v>
      </c>
      <c r="AN48" s="47">
        <f t="shared" si="22"/>
        <v>12.421743741462805</v>
      </c>
      <c r="AO48" s="54">
        <f t="shared" si="23"/>
        <v>1.8758999999999999</v>
      </c>
      <c r="AP48" s="47">
        <f t="shared" si="24"/>
        <v>36.001419262082123</v>
      </c>
    </row>
    <row r="49" spans="2:42" x14ac:dyDescent="0.35">
      <c r="B49" s="4">
        <v>2048</v>
      </c>
      <c r="C49" s="66">
        <f t="shared" si="25"/>
        <v>2.3E-2</v>
      </c>
      <c r="D49" s="37">
        <f t="shared" si="26"/>
        <v>143.02346936820013</v>
      </c>
      <c r="E49" s="57">
        <f t="shared" si="0"/>
        <v>2.5999999999999999E-2</v>
      </c>
      <c r="F49" s="69">
        <f t="shared" si="27"/>
        <v>249</v>
      </c>
      <c r="G49" s="40">
        <f t="shared" si="1"/>
        <v>574.39144324578365</v>
      </c>
      <c r="H49" s="70">
        <f t="shared" si="28"/>
        <v>1.6E-2</v>
      </c>
      <c r="I49" s="42">
        <f t="shared" si="29"/>
        <v>3910.5581951222598</v>
      </c>
      <c r="J49" s="59">
        <f t="shared" si="2"/>
        <v>1E-3</v>
      </c>
      <c r="K49" s="60">
        <f t="shared" si="3"/>
        <v>6.0000000000000001E-3</v>
      </c>
      <c r="L49" s="60">
        <f t="shared" si="4"/>
        <v>3.0000000000000001E-3</v>
      </c>
      <c r="M49" s="71">
        <f>IF(SUM($K$32:K49)&lt;4%,M48*(I49/I48-J49-K49-L49),M48*(I49/I48-J49-L49))</f>
        <v>29677.283964329155</v>
      </c>
      <c r="N49" s="62">
        <f t="shared" si="5"/>
        <v>-3.0000000000000001E-3</v>
      </c>
      <c r="O49" s="47">
        <f t="shared" si="30"/>
        <v>2.302795065323314</v>
      </c>
      <c r="P49" s="47">
        <f t="shared" si="6"/>
        <v>39.254315066083883</v>
      </c>
      <c r="Q49" s="64">
        <f t="shared" si="7"/>
        <v>0.5</v>
      </c>
      <c r="R49" s="47">
        <f t="shared" si="8"/>
        <v>19.627157533041942</v>
      </c>
      <c r="S49" s="59">
        <f t="shared" si="35"/>
        <v>0</v>
      </c>
      <c r="T49" s="72">
        <f t="shared" si="31"/>
        <v>0.5544</v>
      </c>
      <c r="U49" s="66">
        <f t="shared" si="34"/>
        <v>0.05</v>
      </c>
      <c r="V49" s="73">
        <f>IF(SUM($U$19:U49)&lt;55%,V48*(1-U49),V48)</f>
        <v>1.508817086880714</v>
      </c>
      <c r="W49" s="47">
        <f t="shared" si="9"/>
        <v>74.424693358853162</v>
      </c>
      <c r="X49" s="47">
        <f t="shared" si="10"/>
        <v>37.212346679426581</v>
      </c>
      <c r="Y49" s="51">
        <f t="shared" si="33"/>
        <v>15000</v>
      </c>
      <c r="Z49" s="74">
        <f>SUM($Y$20:Y49)*1.3*3.7/1000000</f>
        <v>1.9480500000000001</v>
      </c>
      <c r="AA49" s="68">
        <f t="shared" si="11"/>
        <v>72.476643358853167</v>
      </c>
      <c r="AB49" s="68">
        <f t="shared" si="12"/>
        <v>35.264296679426579</v>
      </c>
      <c r="AC49" s="47">
        <f t="shared" si="13"/>
        <v>17.679107533041943</v>
      </c>
      <c r="AE49" s="4">
        <v>2048</v>
      </c>
      <c r="AF49" s="53">
        <f t="shared" si="14"/>
        <v>1.9781945970705412</v>
      </c>
      <c r="AG49" s="54">
        <f t="shared" si="15"/>
        <v>1.66</v>
      </c>
      <c r="AH49" s="54">
        <f t="shared" si="16"/>
        <v>1.1916834922111694</v>
      </c>
      <c r="AI49" s="55">
        <f t="shared" si="17"/>
        <v>1.6099457369791106</v>
      </c>
      <c r="AJ49" s="44">
        <f t="shared" si="18"/>
        <v>1.3597591925474448</v>
      </c>
      <c r="AK49" s="47">
        <f t="shared" si="19"/>
        <v>1.2646034193938909</v>
      </c>
      <c r="AL49" s="47">
        <f t="shared" si="20"/>
        <v>17.679107533041943</v>
      </c>
      <c r="AM49" s="47">
        <f t="shared" si="21"/>
        <v>4.7252559726979921</v>
      </c>
      <c r="AN49" s="47">
        <f t="shared" si="22"/>
        <v>12.859933173686651</v>
      </c>
      <c r="AO49" s="54">
        <f t="shared" si="23"/>
        <v>1.9480500000000001</v>
      </c>
      <c r="AP49" s="47">
        <f t="shared" si="24"/>
        <v>37.212346679426581</v>
      </c>
    </row>
    <row r="50" spans="2:42" x14ac:dyDescent="0.35">
      <c r="B50" s="4">
        <v>2049</v>
      </c>
      <c r="C50" s="66">
        <f t="shared" si="25"/>
        <v>2.3E-2</v>
      </c>
      <c r="D50" s="37">
        <f t="shared" si="26"/>
        <v>146.31300916366871</v>
      </c>
      <c r="E50" s="57">
        <f t="shared" si="0"/>
        <v>2.5999999999999999E-2</v>
      </c>
      <c r="F50" s="69">
        <f t="shared" si="27"/>
        <v>249</v>
      </c>
      <c r="G50" s="40">
        <f t="shared" si="1"/>
        <v>587.60244644043655</v>
      </c>
      <c r="H50" s="70">
        <f t="shared" si="28"/>
        <v>1.6E-2</v>
      </c>
      <c r="I50" s="42">
        <f t="shared" si="29"/>
        <v>3973.127126244216</v>
      </c>
      <c r="J50" s="59">
        <f t="shared" si="2"/>
        <v>1E-3</v>
      </c>
      <c r="K50" s="60">
        <f t="shared" si="3"/>
        <v>6.0000000000000001E-3</v>
      </c>
      <c r="L50" s="60">
        <f t="shared" si="4"/>
        <v>3.0000000000000001E-3</v>
      </c>
      <c r="M50" s="71">
        <f>IF(SUM($K$32:K50)&lt;4%,M49*(I50/I49-J50-K50-L50),M49*(I50/I49-J50-L50))</f>
        <v>30033.411371901111</v>
      </c>
      <c r="N50" s="62">
        <f t="shared" si="5"/>
        <v>-3.0000000000000001E-3</v>
      </c>
      <c r="O50" s="47">
        <f t="shared" si="30"/>
        <v>2.2958866801273441</v>
      </c>
      <c r="P50" s="47">
        <f t="shared" si="6"/>
        <v>40.517133133501993</v>
      </c>
      <c r="Q50" s="64">
        <f t="shared" si="7"/>
        <v>0.5</v>
      </c>
      <c r="R50" s="47">
        <f t="shared" si="8"/>
        <v>20.258566566750996</v>
      </c>
      <c r="S50" s="59">
        <f t="shared" si="35"/>
        <v>0</v>
      </c>
      <c r="T50" s="72">
        <f t="shared" si="31"/>
        <v>0.5544</v>
      </c>
      <c r="U50" s="66">
        <f t="shared" si="34"/>
        <v>0.05</v>
      </c>
      <c r="V50" s="73">
        <f>IF(SUM($U$19:U50)&lt;55%,V49*(1-U50),V49)</f>
        <v>1.508817086880714</v>
      </c>
      <c r="W50" s="47">
        <f t="shared" si="9"/>
        <v>76.928181690927019</v>
      </c>
      <c r="X50" s="47">
        <f t="shared" si="10"/>
        <v>38.46409084546351</v>
      </c>
      <c r="Y50" s="51">
        <f t="shared" si="33"/>
        <v>15000</v>
      </c>
      <c r="Z50" s="74">
        <f>SUM($Y$20:Y50)*1.3*3.7/1000000</f>
        <v>2.0202</v>
      </c>
      <c r="AA50" s="68">
        <f t="shared" si="11"/>
        <v>74.907981690927016</v>
      </c>
      <c r="AB50" s="68">
        <f t="shared" si="12"/>
        <v>36.443890845463507</v>
      </c>
      <c r="AC50" s="47">
        <f t="shared" si="13"/>
        <v>18.238366566750997</v>
      </c>
      <c r="AE50" s="4">
        <v>2049</v>
      </c>
      <c r="AF50" s="53">
        <f t="shared" si="14"/>
        <v>2.0236930728031632</v>
      </c>
      <c r="AG50" s="54">
        <f t="shared" si="15"/>
        <v>1.66</v>
      </c>
      <c r="AH50" s="54">
        <f t="shared" si="16"/>
        <v>1.219092212532026</v>
      </c>
      <c r="AI50" s="55">
        <f t="shared" si="17"/>
        <v>1.6357048687707765</v>
      </c>
      <c r="AJ50" s="44">
        <f t="shared" si="18"/>
        <v>1.3760763028580145</v>
      </c>
      <c r="AK50" s="47">
        <f t="shared" si="19"/>
        <v>1.3071419877409343</v>
      </c>
      <c r="AL50" s="47">
        <f t="shared" si="20"/>
        <v>18.238366566750997</v>
      </c>
      <c r="AM50" s="47">
        <f t="shared" si="21"/>
        <v>4.8919441023908865</v>
      </c>
      <c r="AN50" s="47">
        <f t="shared" si="22"/>
        <v>13.31358017632162</v>
      </c>
      <c r="AO50" s="54">
        <f t="shared" si="23"/>
        <v>2.0202</v>
      </c>
      <c r="AP50" s="47">
        <f t="shared" si="24"/>
        <v>38.46409084546351</v>
      </c>
    </row>
    <row r="51" spans="2:42" x14ac:dyDescent="0.35">
      <c r="B51" s="4">
        <v>2050</v>
      </c>
      <c r="C51" s="66">
        <f t="shared" si="25"/>
        <v>2.3E-2</v>
      </c>
      <c r="D51" s="37">
        <f t="shared" si="26"/>
        <v>149.67820837443307</v>
      </c>
      <c r="E51" s="57">
        <f t="shared" si="0"/>
        <v>2.5999999999999999E-2</v>
      </c>
      <c r="F51" s="69">
        <f t="shared" si="27"/>
        <v>249</v>
      </c>
      <c r="G51" s="40">
        <f t="shared" si="1"/>
        <v>601.11730270856651</v>
      </c>
      <c r="H51" s="70">
        <f t="shared" si="28"/>
        <v>1.6E-2</v>
      </c>
      <c r="I51" s="42">
        <f t="shared" si="29"/>
        <v>4000</v>
      </c>
      <c r="J51" s="59">
        <f t="shared" si="2"/>
        <v>1E-3</v>
      </c>
      <c r="K51" s="60">
        <f t="shared" si="3"/>
        <v>6.0000000000000001E-3</v>
      </c>
      <c r="L51" s="60">
        <f t="shared" si="4"/>
        <v>3.0000000000000001E-3</v>
      </c>
      <c r="M51" s="71">
        <f>IF(SUM($K$32:K51)&lt;4%,M50*(I51/I50-J51-K51-L51),M50*(I51/I50-J51-L51))</f>
        <v>30116.413454671867</v>
      </c>
      <c r="N51" s="62">
        <f t="shared" si="5"/>
        <v>-3.0000000000000001E-3</v>
      </c>
      <c r="O51" s="47">
        <f t="shared" si="30"/>
        <v>2.2889990200869619</v>
      </c>
      <c r="P51" s="47">
        <f t="shared" si="6"/>
        <v>41.43888740388779</v>
      </c>
      <c r="Q51" s="64">
        <f t="shared" si="7"/>
        <v>0.5</v>
      </c>
      <c r="R51" s="47">
        <f t="shared" si="8"/>
        <v>20.719443701943895</v>
      </c>
      <c r="S51" s="59">
        <f t="shared" si="35"/>
        <v>0</v>
      </c>
      <c r="T51" s="72">
        <f t="shared" si="31"/>
        <v>0.5544</v>
      </c>
      <c r="U51" s="66">
        <f t="shared" si="34"/>
        <v>0.05</v>
      </c>
      <c r="V51" s="73">
        <f>IF(SUM($U$19:U51)&lt;55%,V50*(1-U51),V50)</f>
        <v>1.508817086880714</v>
      </c>
      <c r="W51" s="47">
        <f t="shared" si="9"/>
        <v>78.790332206943717</v>
      </c>
      <c r="X51" s="47">
        <f t="shared" si="10"/>
        <v>39.395166103471858</v>
      </c>
      <c r="Y51" s="51">
        <f t="shared" si="33"/>
        <v>15000</v>
      </c>
      <c r="Z51" s="74">
        <f>SUM($Y$20:Y51)*1.3*3.7/1000000</f>
        <v>2.0923500000000002</v>
      </c>
      <c r="AA51" s="68">
        <f t="shared" si="11"/>
        <v>76.69798220694372</v>
      </c>
      <c r="AB51" s="68">
        <f t="shared" si="12"/>
        <v>37.302816103471855</v>
      </c>
      <c r="AC51" s="47">
        <f t="shared" si="13"/>
        <v>18.627093701943895</v>
      </c>
      <c r="AE51" s="4">
        <v>2050</v>
      </c>
      <c r="AF51" s="53">
        <f t="shared" si="14"/>
        <v>2.0702380134776357</v>
      </c>
      <c r="AG51" s="54">
        <f t="shared" si="15"/>
        <v>1.66</v>
      </c>
      <c r="AH51" s="54">
        <f t="shared" si="16"/>
        <v>1.2471313334202625</v>
      </c>
      <c r="AI51" s="55">
        <f t="shared" si="17"/>
        <v>1.6467682173734046</v>
      </c>
      <c r="AJ51" s="44">
        <f t="shared" si="18"/>
        <v>1.3798793073776927</v>
      </c>
      <c r="AK51" s="47">
        <f t="shared" si="19"/>
        <v>1.3387831246231017</v>
      </c>
      <c r="AL51" s="47">
        <f t="shared" si="20"/>
        <v>18.627093701943895</v>
      </c>
      <c r="AM51" s="47">
        <f t="shared" si="21"/>
        <v>5.0182894302511736</v>
      </c>
      <c r="AN51" s="47">
        <f t="shared" si="22"/>
        <v>13.657432971276794</v>
      </c>
      <c r="AO51" s="54">
        <f t="shared" si="23"/>
        <v>2.0923500000000002</v>
      </c>
      <c r="AP51" s="47">
        <f t="shared" si="24"/>
        <v>39.395166103471858</v>
      </c>
    </row>
    <row r="53" spans="2:42" x14ac:dyDescent="0.35">
      <c r="Y53" s="75"/>
    </row>
    <row r="54" spans="2:42" ht="15" customHeight="1" x14ac:dyDescent="0.35">
      <c r="X54" s="111" t="s">
        <v>71</v>
      </c>
      <c r="Y54" s="112"/>
      <c r="Z54" s="112"/>
      <c r="AA54" s="112"/>
      <c r="AB54" s="112"/>
      <c r="AC54" s="112"/>
      <c r="AD54" s="113"/>
    </row>
    <row r="55" spans="2:42" ht="15" customHeight="1" x14ac:dyDescent="0.35">
      <c r="X55" s="114"/>
      <c r="Y55" s="115"/>
      <c r="Z55" s="115"/>
      <c r="AA55" s="115"/>
      <c r="AB55" s="115"/>
      <c r="AC55" s="115"/>
      <c r="AD55" s="116"/>
    </row>
    <row r="56" spans="2:42" x14ac:dyDescent="0.35">
      <c r="X56" s="76"/>
      <c r="Y56" s="76"/>
      <c r="Z56" s="76"/>
      <c r="AA56" s="76"/>
      <c r="AB56" s="76"/>
      <c r="AC56" s="76"/>
      <c r="AD56" s="76"/>
    </row>
    <row r="57" spans="2:42" x14ac:dyDescent="0.35">
      <c r="X57" s="76"/>
      <c r="Y57" s="76"/>
      <c r="Z57" s="76"/>
      <c r="AA57" s="76"/>
      <c r="AB57" s="76"/>
      <c r="AC57" s="76"/>
      <c r="AD57" s="76"/>
    </row>
    <row r="58" spans="2:42" ht="15" customHeight="1" x14ac:dyDescent="0.35">
      <c r="X58" s="117" t="s">
        <v>72</v>
      </c>
      <c r="Y58" s="118"/>
      <c r="Z58" s="121">
        <v>80</v>
      </c>
      <c r="AA58" s="76"/>
      <c r="AB58" s="117" t="s">
        <v>73</v>
      </c>
      <c r="AC58" s="118"/>
      <c r="AD58" s="121">
        <f>7950</f>
        <v>7950</v>
      </c>
    </row>
    <row r="59" spans="2:42" ht="15" customHeight="1" x14ac:dyDescent="0.35">
      <c r="X59" s="119"/>
      <c r="Y59" s="120"/>
      <c r="Z59" s="122"/>
      <c r="AA59" s="76"/>
      <c r="AB59" s="119"/>
      <c r="AC59" s="120"/>
      <c r="AD59" s="122"/>
    </row>
    <row r="60" spans="2:42" ht="15" customHeight="1" x14ac:dyDescent="0.35">
      <c r="X60" s="117" t="s">
        <v>74</v>
      </c>
      <c r="Y60" s="118"/>
      <c r="Z60" s="121">
        <v>7</v>
      </c>
      <c r="AA60" s="76"/>
      <c r="AB60" s="117" t="s">
        <v>75</v>
      </c>
      <c r="AC60" s="118"/>
      <c r="AD60" s="121">
        <f>AD58*30%</f>
        <v>2385</v>
      </c>
    </row>
    <row r="61" spans="2:42" ht="15" customHeight="1" x14ac:dyDescent="0.35">
      <c r="X61" s="119"/>
      <c r="Y61" s="120"/>
      <c r="Z61" s="122"/>
      <c r="AA61" s="76"/>
      <c r="AB61" s="119"/>
      <c r="AC61" s="120"/>
      <c r="AD61" s="122"/>
    </row>
    <row r="62" spans="2:42" ht="15" customHeight="1" x14ac:dyDescent="0.35">
      <c r="X62" s="117" t="s">
        <v>104</v>
      </c>
      <c r="Y62" s="118"/>
      <c r="Z62" s="121">
        <f>R51-Z51</f>
        <v>18.627093701943895</v>
      </c>
      <c r="AA62" s="76"/>
      <c r="AB62" s="117" t="s">
        <v>102</v>
      </c>
      <c r="AC62" s="118"/>
      <c r="AD62" s="121">
        <f>L74</f>
        <v>453.52090936011399</v>
      </c>
    </row>
    <row r="63" spans="2:42" ht="15" customHeight="1" x14ac:dyDescent="0.35">
      <c r="X63" s="119"/>
      <c r="Y63" s="120"/>
      <c r="Z63" s="122"/>
      <c r="AA63" s="76"/>
      <c r="AB63" s="119"/>
      <c r="AC63" s="120"/>
      <c r="AD63" s="122"/>
    </row>
    <row r="64" spans="2:42" ht="15" customHeight="1" x14ac:dyDescent="0.35">
      <c r="X64" s="117" t="s">
        <v>103</v>
      </c>
      <c r="Y64" s="118"/>
      <c r="Z64" s="121">
        <f>X51-Z51</f>
        <v>37.302816103471855</v>
      </c>
      <c r="AA64" s="76"/>
      <c r="AB64" s="117" t="s">
        <v>101</v>
      </c>
      <c r="AC64" s="118"/>
      <c r="AD64" s="121">
        <f>M74</f>
        <v>895.45491091258828</v>
      </c>
    </row>
    <row r="65" spans="3:30" ht="15" customHeight="1" x14ac:dyDescent="0.35">
      <c r="X65" s="119"/>
      <c r="Y65" s="120"/>
      <c r="Z65" s="122"/>
      <c r="AA65" s="76"/>
      <c r="AB65" s="119"/>
      <c r="AC65" s="120"/>
      <c r="AD65" s="122"/>
    </row>
    <row r="68" spans="3:30" ht="15" customHeight="1" x14ac:dyDescent="0.35"/>
    <row r="69" spans="3:30" ht="15" customHeight="1" x14ac:dyDescent="0.35">
      <c r="J69" s="76"/>
      <c r="K69" s="76"/>
      <c r="L69" s="4" t="s">
        <v>80</v>
      </c>
      <c r="M69" s="4" t="s">
        <v>81</v>
      </c>
    </row>
    <row r="70" spans="3:30" ht="15" customHeight="1" x14ac:dyDescent="0.35">
      <c r="C70" s="123" t="s">
        <v>82</v>
      </c>
      <c r="D70" s="123"/>
      <c r="E70" s="123"/>
      <c r="F70" s="123"/>
      <c r="G70" s="123"/>
      <c r="H70" s="123"/>
      <c r="J70" s="80" t="s">
        <v>83</v>
      </c>
      <c r="K70" s="81"/>
      <c r="L70" s="109">
        <f>SUM(R21:R30)</f>
        <v>135.67878952401645</v>
      </c>
      <c r="M70" s="109">
        <f>SUM(X21:X30)</f>
        <v>294.53742341211404</v>
      </c>
    </row>
    <row r="71" spans="3:30" ht="15" customHeight="1" x14ac:dyDescent="0.35">
      <c r="C71" s="124" t="s">
        <v>3</v>
      </c>
      <c r="D71" s="124"/>
      <c r="E71" s="1"/>
      <c r="F71" s="4">
        <v>2018</v>
      </c>
      <c r="G71" s="4">
        <v>2050</v>
      </c>
      <c r="H71" s="4" t="s">
        <v>84</v>
      </c>
      <c r="J71" s="82"/>
      <c r="K71" s="83"/>
      <c r="L71" s="109"/>
      <c r="M71" s="109"/>
    </row>
    <row r="72" spans="3:30" ht="15" customHeight="1" x14ac:dyDescent="0.35">
      <c r="C72" s="88" t="s">
        <v>9</v>
      </c>
      <c r="D72" s="88"/>
      <c r="E72" s="7" t="s">
        <v>10</v>
      </c>
      <c r="F72" s="77">
        <v>172.4</v>
      </c>
      <c r="G72" s="77">
        <f>D51</f>
        <v>149.67820837443307</v>
      </c>
      <c r="H72" s="78">
        <f t="shared" ref="H72:H79" si="36">G72/F72-1</f>
        <v>-0.13179693518310287</v>
      </c>
      <c r="J72" s="80" t="s">
        <v>85</v>
      </c>
      <c r="K72" s="81"/>
      <c r="L72" s="109">
        <f>SUM(R31:R50)</f>
        <v>317.84211983609754</v>
      </c>
      <c r="M72" s="109">
        <f>SUM(X31:X50)</f>
        <v>600.91748750047418</v>
      </c>
      <c r="X72" s="111" t="s">
        <v>86</v>
      </c>
      <c r="Y72" s="112"/>
      <c r="Z72" s="113"/>
    </row>
    <row r="73" spans="3:30" ht="15" customHeight="1" x14ac:dyDescent="0.35">
      <c r="C73" s="88" t="s">
        <v>13</v>
      </c>
      <c r="D73" s="88"/>
      <c r="E73" s="7"/>
      <c r="F73" s="79">
        <v>109.5</v>
      </c>
      <c r="G73" s="79">
        <f>F51</f>
        <v>249</v>
      </c>
      <c r="H73" s="78">
        <f t="shared" si="36"/>
        <v>1.2739726027397262</v>
      </c>
      <c r="J73" s="82"/>
      <c r="K73" s="83"/>
      <c r="L73" s="109"/>
      <c r="M73" s="109"/>
      <c r="X73" s="114"/>
      <c r="Y73" s="115"/>
      <c r="Z73" s="116"/>
    </row>
    <row r="74" spans="3:30" ht="15" customHeight="1" x14ac:dyDescent="0.35">
      <c r="C74" s="88" t="s">
        <v>87</v>
      </c>
      <c r="D74" s="88"/>
      <c r="E74" s="7" t="s">
        <v>88</v>
      </c>
      <c r="F74" s="79">
        <f>G19</f>
        <v>482</v>
      </c>
      <c r="G74" s="79">
        <f>G51</f>
        <v>601.11730270856651</v>
      </c>
      <c r="H74" s="78">
        <f t="shared" si="36"/>
        <v>0.2471313334202625</v>
      </c>
      <c r="J74" s="80" t="s">
        <v>89</v>
      </c>
      <c r="K74" s="81"/>
      <c r="L74" s="109">
        <f>L72+L70</f>
        <v>453.52090936011399</v>
      </c>
      <c r="M74" s="109">
        <f>M72+M70</f>
        <v>895.45491091258828</v>
      </c>
      <c r="X74" s="76"/>
      <c r="Y74" s="76"/>
      <c r="Z74" s="76"/>
    </row>
    <row r="75" spans="3:30" ht="15" customHeight="1" thickBot="1" x14ac:dyDescent="0.4">
      <c r="C75" s="88" t="s">
        <v>16</v>
      </c>
      <c r="D75" s="88"/>
      <c r="E75" s="7" t="s">
        <v>17</v>
      </c>
      <c r="F75" s="79">
        <v>1600</v>
      </c>
      <c r="G75" s="79">
        <f>I51</f>
        <v>4000</v>
      </c>
      <c r="H75" s="78">
        <f t="shared" si="36"/>
        <v>1.5</v>
      </c>
      <c r="J75" s="91"/>
      <c r="K75" s="92"/>
      <c r="L75" s="110"/>
      <c r="M75" s="110"/>
      <c r="X75" s="80" t="s">
        <v>90</v>
      </c>
      <c r="Y75" s="81"/>
      <c r="Z75" s="89">
        <v>-0.36</v>
      </c>
    </row>
    <row r="76" spans="3:30" ht="15" customHeight="1" thickTop="1" x14ac:dyDescent="0.35">
      <c r="C76" s="88" t="s">
        <v>20</v>
      </c>
      <c r="D76" s="88"/>
      <c r="E76" s="7" t="s">
        <v>21</v>
      </c>
      <c r="F76" s="79">
        <f>((5+17.7*2)*1000000/2.52)/1575000*1000</f>
        <v>10178.886369362561</v>
      </c>
      <c r="G76" s="79">
        <f>M51</f>
        <v>30116.413454671867</v>
      </c>
      <c r="H76" s="78">
        <f t="shared" si="36"/>
        <v>1.9587139851879365</v>
      </c>
      <c r="J76" s="97" t="s">
        <v>91</v>
      </c>
      <c r="K76" s="98"/>
      <c r="L76" s="103">
        <f>P21/(D21*I21)*1000000*0.85</f>
        <v>119.49599587561494</v>
      </c>
      <c r="M76" s="104"/>
      <c r="X76" s="82"/>
      <c r="Y76" s="83"/>
      <c r="Z76" s="90"/>
    </row>
    <row r="77" spans="3:30" ht="15" customHeight="1" x14ac:dyDescent="0.35">
      <c r="C77" s="88" t="s">
        <v>92</v>
      </c>
      <c r="D77" s="88"/>
      <c r="E77" s="7" t="s">
        <v>25</v>
      </c>
      <c r="F77" s="79">
        <v>2.52</v>
      </c>
      <c r="G77" s="79">
        <f>O51</f>
        <v>2.2889990200869619</v>
      </c>
      <c r="H77" s="78">
        <f t="shared" si="36"/>
        <v>-9.1667055521046925E-2</v>
      </c>
      <c r="J77" s="82"/>
      <c r="K77" s="83"/>
      <c r="L77" s="105"/>
      <c r="M77" s="106"/>
      <c r="X77" s="80" t="s">
        <v>93</v>
      </c>
      <c r="Y77" s="81"/>
      <c r="Z77" s="89">
        <v>-0.32</v>
      </c>
    </row>
    <row r="78" spans="3:30" ht="15" customHeight="1" x14ac:dyDescent="0.35">
      <c r="C78" s="88" t="s">
        <v>28</v>
      </c>
      <c r="D78" s="88"/>
      <c r="E78" s="7" t="s">
        <v>25</v>
      </c>
      <c r="F78" s="79">
        <f>0.22*F77</f>
        <v>0.5544</v>
      </c>
      <c r="G78" s="79">
        <f>T51</f>
        <v>0.5544</v>
      </c>
      <c r="H78" s="78">
        <f t="shared" si="36"/>
        <v>0</v>
      </c>
      <c r="J78" s="80" t="s">
        <v>94</v>
      </c>
      <c r="K78" s="81"/>
      <c r="L78" s="107">
        <f>P51/(D51*I51)*1000000*0.85</f>
        <v>58.831299953148637</v>
      </c>
      <c r="M78" s="108"/>
      <c r="X78" s="82"/>
      <c r="Y78" s="83"/>
      <c r="Z78" s="90"/>
    </row>
    <row r="79" spans="3:30" ht="15" customHeight="1" x14ac:dyDescent="0.35">
      <c r="C79" s="88" t="s">
        <v>95</v>
      </c>
      <c r="D79" s="88"/>
      <c r="E79" s="7" t="s">
        <v>25</v>
      </c>
      <c r="F79" s="79">
        <v>2.52</v>
      </c>
      <c r="G79" s="79">
        <f>V51</f>
        <v>1.508817086880714</v>
      </c>
      <c r="H79" s="78">
        <f t="shared" si="36"/>
        <v>-0.40126306076162144</v>
      </c>
      <c r="J79" s="82"/>
      <c r="K79" s="83"/>
      <c r="L79" s="105"/>
      <c r="M79" s="106"/>
      <c r="X79" s="80" t="s">
        <v>96</v>
      </c>
      <c r="Y79" s="81"/>
      <c r="Z79" s="89">
        <v>-0.72</v>
      </c>
    </row>
    <row r="80" spans="3:30" ht="15" customHeight="1" x14ac:dyDescent="0.35">
      <c r="J80" s="80" t="s">
        <v>97</v>
      </c>
      <c r="K80" s="81"/>
      <c r="L80" s="93">
        <f>L78/L76-1</f>
        <v>-0.50767136988935624</v>
      </c>
      <c r="M80" s="94"/>
      <c r="X80" s="82"/>
      <c r="Y80" s="83"/>
      <c r="Z80" s="90"/>
    </row>
    <row r="81" spans="10:26" ht="15" customHeight="1" thickBot="1" x14ac:dyDescent="0.4">
      <c r="J81" s="91"/>
      <c r="K81" s="92"/>
      <c r="L81" s="95"/>
      <c r="M81" s="96"/>
      <c r="X81" s="80" t="s">
        <v>105</v>
      </c>
      <c r="Y81" s="81"/>
      <c r="Z81" s="89">
        <f>X31/X19-1</f>
        <v>-5.08756662073655E-2</v>
      </c>
    </row>
    <row r="82" spans="10:26" ht="15" customHeight="1" thickTop="1" x14ac:dyDescent="0.35">
      <c r="J82" s="97" t="s">
        <v>99</v>
      </c>
      <c r="K82" s="98"/>
      <c r="L82" s="99">
        <f>SUM(Y19:Y51)</f>
        <v>435000</v>
      </c>
      <c r="M82" s="100"/>
      <c r="X82" s="82"/>
      <c r="Y82" s="83"/>
      <c r="Z82" s="90"/>
    </row>
    <row r="83" spans="10:26" ht="15" customHeight="1" x14ac:dyDescent="0.35">
      <c r="J83" s="82"/>
      <c r="K83" s="83"/>
      <c r="L83" s="101"/>
      <c r="M83" s="102"/>
    </row>
    <row r="84" spans="10:26" ht="15" customHeight="1" x14ac:dyDescent="0.35">
      <c r="J84" s="80" t="s">
        <v>100</v>
      </c>
      <c r="K84" s="81"/>
      <c r="L84" s="84">
        <f>SUM(Z19:Z51)</f>
        <v>31.385249999999999</v>
      </c>
      <c r="M84" s="85"/>
    </row>
    <row r="85" spans="10:26" ht="15" customHeight="1" x14ac:dyDescent="0.35">
      <c r="J85" s="82"/>
      <c r="K85" s="83"/>
      <c r="L85" s="86"/>
      <c r="M85" s="87"/>
    </row>
    <row r="86" spans="10:26" ht="15" customHeight="1" x14ac:dyDescent="0.35"/>
    <row r="87" spans="10:26" ht="15" customHeight="1" x14ac:dyDescent="0.35"/>
  </sheetData>
  <mergeCells count="99">
    <mergeCell ref="S5:U5"/>
    <mergeCell ref="B6:E6"/>
    <mergeCell ref="G6:J6"/>
    <mergeCell ref="K6:M6"/>
    <mergeCell ref="P6:S6"/>
    <mergeCell ref="T6:V6"/>
    <mergeCell ref="B7:C7"/>
    <mergeCell ref="G7:I7"/>
    <mergeCell ref="P7:R7"/>
    <mergeCell ref="B8:C8"/>
    <mergeCell ref="G8:I8"/>
    <mergeCell ref="P8:R8"/>
    <mergeCell ref="B9:C9"/>
    <mergeCell ref="G9:I9"/>
    <mergeCell ref="P9:R9"/>
    <mergeCell ref="B10:C10"/>
    <mergeCell ref="G10:I10"/>
    <mergeCell ref="P10:R10"/>
    <mergeCell ref="B11:C11"/>
    <mergeCell ref="G11:I11"/>
    <mergeCell ref="P11:R11"/>
    <mergeCell ref="B12:C12"/>
    <mergeCell ref="G12:I12"/>
    <mergeCell ref="P12:R12"/>
    <mergeCell ref="P13:R13"/>
    <mergeCell ref="B14:C14"/>
    <mergeCell ref="G14:I14"/>
    <mergeCell ref="X58:Y59"/>
    <mergeCell ref="Z58:Z59"/>
    <mergeCell ref="C16:D16"/>
    <mergeCell ref="E16:F16"/>
    <mergeCell ref="G16:G17"/>
    <mergeCell ref="H16:I16"/>
    <mergeCell ref="J16:M16"/>
    <mergeCell ref="B13:C13"/>
    <mergeCell ref="G13:I13"/>
    <mergeCell ref="N16:O16"/>
    <mergeCell ref="P16:P17"/>
    <mergeCell ref="S16:T16"/>
    <mergeCell ref="U16:V16"/>
    <mergeCell ref="W16:W17"/>
    <mergeCell ref="AE16:AJ16"/>
    <mergeCell ref="X54:AD55"/>
    <mergeCell ref="X60:Y61"/>
    <mergeCell ref="Z60:Z61"/>
    <mergeCell ref="AB60:AC61"/>
    <mergeCell ref="AD60:AD61"/>
    <mergeCell ref="AD58:AD59"/>
    <mergeCell ref="Y16:Z16"/>
    <mergeCell ref="AA16:AA17"/>
    <mergeCell ref="AB16:AB17"/>
    <mergeCell ref="AC16:AC17"/>
    <mergeCell ref="AB58:AC59"/>
    <mergeCell ref="X62:Y63"/>
    <mergeCell ref="Z62:Z63"/>
    <mergeCell ref="AB62:AC63"/>
    <mergeCell ref="AD62:AD63"/>
    <mergeCell ref="X64:Y65"/>
    <mergeCell ref="Z64:Z65"/>
    <mergeCell ref="AB64:AC65"/>
    <mergeCell ref="AD64:AD65"/>
    <mergeCell ref="C70:H70"/>
    <mergeCell ref="J70:K71"/>
    <mergeCell ref="L70:L71"/>
    <mergeCell ref="M70:M71"/>
    <mergeCell ref="C71:D71"/>
    <mergeCell ref="X72:Z73"/>
    <mergeCell ref="C73:D73"/>
    <mergeCell ref="C74:D74"/>
    <mergeCell ref="J74:K75"/>
    <mergeCell ref="L74:L75"/>
    <mergeCell ref="M74:M75"/>
    <mergeCell ref="C75:D75"/>
    <mergeCell ref="Z75:Z76"/>
    <mergeCell ref="C76:D76"/>
    <mergeCell ref="J76:K77"/>
    <mergeCell ref="C72:D72"/>
    <mergeCell ref="J72:K73"/>
    <mergeCell ref="L72:L73"/>
    <mergeCell ref="M72:M73"/>
    <mergeCell ref="L76:M77"/>
    <mergeCell ref="C77:D77"/>
    <mergeCell ref="X77:Y78"/>
    <mergeCell ref="Z77:Z78"/>
    <mergeCell ref="C78:D78"/>
    <mergeCell ref="J78:K79"/>
    <mergeCell ref="L78:M79"/>
    <mergeCell ref="X75:Y76"/>
    <mergeCell ref="Z79:Z80"/>
    <mergeCell ref="J80:K81"/>
    <mergeCell ref="L80:M81"/>
    <mergeCell ref="X81:Y82"/>
    <mergeCell ref="Z81:Z82"/>
    <mergeCell ref="J82:K83"/>
    <mergeCell ref="L82:M83"/>
    <mergeCell ref="J84:K85"/>
    <mergeCell ref="L84:M85"/>
    <mergeCell ref="C79:D79"/>
    <mergeCell ref="X79:Y8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Scenario Vierge</vt:lpstr>
      <vt:lpstr>Scenario ViergeT4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</dc:creator>
  <cp:lastModifiedBy>Roumaissa Benahmed</cp:lastModifiedBy>
  <dcterms:created xsi:type="dcterms:W3CDTF">2020-07-21T07:11:33Z</dcterms:created>
  <dcterms:modified xsi:type="dcterms:W3CDTF">2020-07-21T10:10:09Z</dcterms:modified>
</cp:coreProperties>
</file>